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athant\Desktop\"/>
    </mc:Choice>
  </mc:AlternateContent>
  <workbookProtection workbookPassword="CA23" lockStructure="1"/>
  <bookViews>
    <workbookView xWindow="0" yWindow="0" windowWidth="12120" windowHeight="9120" tabRatio="410"/>
  </bookViews>
  <sheets>
    <sheet name="Financial Organiser" sheetId="1" r:id="rId1"/>
    <sheet name="Creditors Sheet" sheetId="3" r:id="rId2"/>
    <sheet name="Working Data" sheetId="2" state="hidden" r:id="rId3"/>
  </sheets>
  <definedNames>
    <definedName name="_xlnm._FilterDatabase" localSheetId="0" hidden="1">'Financial Organiser'!$A$1:$J$17</definedName>
    <definedName name="AreaGrandTotalBpa">'Financial Organiser'!$F$69:$I$69</definedName>
    <definedName name="AreaGrandTotalOsa">'Financial Organiser'!$F$71:$I$71</definedName>
    <definedName name="BudgetDate">'Financial Organiser'!$H$6</definedName>
    <definedName name="BudgetDateSelectionValue">'Working Data'!$G$4</definedName>
    <definedName name="BudgetIncomeFrequencies">'Financial Organiser'!$C$9:$C$16</definedName>
    <definedName name="BudgetIncomeItems">'Financial Organiser'!$A$9:$A$16</definedName>
    <definedName name="BudgetPersonalExpensesItems">'Financial Organiser'!$F$20:$F$44</definedName>
    <definedName name="BudgetWorksheetName">'Financial Organiser'!$A$2</definedName>
    <definedName name="ConstApplicationVersion">'Working Data'!$G$51</definedName>
    <definedName name="ConstColumnAnnualRate">'Working Data'!$G$40</definedName>
    <definedName name="ConstColumnColor">'Working Data'!$G$46</definedName>
    <definedName name="ConstColumnDescription1">'Working Data'!$G$41</definedName>
    <definedName name="ConstColumnDescription2">'Working Data'!$G$42</definedName>
    <definedName name="ConstColumnFortnightly">'Working Data'!$G$44</definedName>
    <definedName name="ConstColumnFrequency">'Working Data'!$G$39</definedName>
    <definedName name="ConstColumnMonthly">'Working Data'!$G$45</definedName>
    <definedName name="ConstColumnWeekly">'Working Data'!$G$43</definedName>
    <definedName name="ConstDaysInFortnight">'Working Data'!$G$26</definedName>
    <definedName name="ConstDaysInMonth">'Working Data'!$G$25</definedName>
    <definedName name="ConstDaysInWeek">'Working Data'!$G$27</definedName>
    <definedName name="ConstDaysInYear">'Working Data'!$G$24</definedName>
    <definedName name="ConstExcelVersionNumber">'Working Data'!$G$53</definedName>
    <definedName name="ConstFortnightsInMonth">'Working Data'!$G$32</definedName>
    <definedName name="ConstFortnightsInYear">'Working Data'!$G$31</definedName>
    <definedName name="ConstMonthsInQuarter">'Working Data'!$G$34</definedName>
    <definedName name="ConstMonthsInYear">'Working Data'!$G$33</definedName>
    <definedName name="ConstOperatingSystem">'Working Data'!$G$52</definedName>
    <definedName name="ConstQuartersInYear">'Working Data'!$G$35</definedName>
    <definedName name="ConstStringBlank">'Working Data'!$A$44</definedName>
    <definedName name="ConstStringBPA">'Working Data'!$A$45</definedName>
    <definedName name="ConstStringOSA">'Working Data'!$A$46</definedName>
    <definedName name="ConstToday">'Working Data'!$G$36</definedName>
    <definedName name="ConstWeeksInFortnight">'Working Data'!$G$30</definedName>
    <definedName name="ConstWeeksInMonth">'Working Data'!$G$29</definedName>
    <definedName name="ConstWeeksInYear">'Working Data'!$G$28</definedName>
    <definedName name="ConstWorksheetNameBudget">'Working Data'!$G$49</definedName>
    <definedName name="ConstWorksheetNameWorkingData">'Working Data'!$G$50</definedName>
    <definedName name="DialogDataFirstWageButtonCancel">'Working Data'!$G$19</definedName>
    <definedName name="DialogDataFirstWageButtonOk">'Working Data'!$G$18</definedName>
    <definedName name="DialogDataFirstWageComboboxFrequency">'Working Data'!$G$20</definedName>
    <definedName name="DialogDataFirstWageComboboxFrequencyIndex">'Working Data'!$G$21</definedName>
    <definedName name="DialogDataFirstWageShown">'Working Data'!$G$17</definedName>
    <definedName name="DialogListFirstWageFrequency">'Working Data'!$A$50:$A$52</definedName>
    <definedName name="DialogListFirstWageFrequencyDefault">'Working Data'!$B$50:$B$52</definedName>
    <definedName name="IsClosingState">'Working Data'!$G$13</definedName>
    <definedName name="ListBpaOsa">'Working Data'!$A$44:$A$46</definedName>
    <definedName name="ListFrequencyBudget">'Working Data'!$A$14:$A$17</definedName>
    <definedName name="ListFrequencyBudgetMonthly">'Working Data'!$A$16</definedName>
    <definedName name="ListFrequencyBudgetSelection">'Financial Organiser'!$B$6</definedName>
    <definedName name="ListFrequencyBudgetSelectionDescription1">'Working Data'!$G$7</definedName>
    <definedName name="ListFrequencyBudgetSelectionDescription2">'Working Data'!$G$8</definedName>
    <definedName name="ListFrequencyBudgetSelectionValue">'Working Data'!$G$6</definedName>
    <definedName name="ListFrequencyBudgetSelectionValueMonthly">'Working Data'!$G$9</definedName>
    <definedName name="ListFrequencyExpense">'Working Data'!$A$5:$A$10</definedName>
    <definedName name="ListFrequencyIncome">'Working Data'!$A$21:$A$25</definedName>
    <definedName name="ListFrequencyIncomeItemDefaults">'Working Data'!$B$28:$D$28</definedName>
    <definedName name="LookupFrequencyDefaultOtherPayments">'Working Data'!$G$11</definedName>
    <definedName name="_xlnm.Print_Area" localSheetId="0">'Financial Organiser'!$A$1:$J$73</definedName>
    <definedName name="ProRataBalance">'Creditors Sheet'!$M$43</definedName>
    <definedName name="SurplusAvailable">'Creditors Sheet'!$D$46</definedName>
    <definedName name="TableBpaOsa">'Working Data'!$A$44:$D$46</definedName>
    <definedName name="TableBudgetFrequency">'Working Data'!$A$14:$D$17</definedName>
    <definedName name="TableExpense">'Working Data'!$A$5:$D$10</definedName>
    <definedName name="TableIncome">'Working Data'!$A$21:$D$25</definedName>
    <definedName name="TableIncomeItemDefaults">'Working Data'!$A$29:$D$36</definedName>
    <definedName name="TablePersonalExpensesDefaults">'Working Data'!$A$40:$D$40</definedName>
    <definedName name="TableWMB2000">#REF!</definedName>
    <definedName name="TableWMB2000Data">#REF!</definedName>
    <definedName name="TableWMB2000Edit">#REF!</definedName>
    <definedName name="TableWMB2000File">#REF!</definedName>
    <definedName name="TableWMB2000Format">#REF!</definedName>
    <definedName name="TableWMB2000Help">#REF!</definedName>
    <definedName name="TableWMB2000Insert">#REF!</definedName>
    <definedName name="TableWMB2000Tools">#REF!</definedName>
    <definedName name="TableWMB2000View">#REF!</definedName>
    <definedName name="TableWMB2000Window">#REF!</definedName>
    <definedName name="TotalIncome">'Financial Organiser'!$D$17</definedName>
    <definedName name="WorkingPassword">'Working Data'!$G$14</definedName>
    <definedName name="Z_0687FE70_1080_11D7_86CA_00B0D034C2E1_.wvu.FilterData" localSheetId="0" hidden="1">'Financial Organiser'!$A$1:$J$17</definedName>
    <definedName name="Z_0687FE70_1080_11D7_86CA_00B0D034C2E1_.wvu.PrintArea" localSheetId="0" hidden="1">'Financial Organiser'!$A$1:$J$73</definedName>
  </definedNames>
  <calcPr calcId="152511"/>
  <customWorkbookViews>
    <customWorkbookView name="Warren Brown - Personal View" guid="{0687FE70-1080-11D7-86CA-00B0D034C2E1}" mergeInterval="0" personalView="1" maximized="1" windowWidth="796" windowHeight="438" tabRatio="571" activeSheetId="1"/>
  </customWorkbookViews>
</workbook>
</file>

<file path=xl/calcChain.xml><?xml version="1.0" encoding="utf-8"?>
<calcChain xmlns="http://schemas.openxmlformats.org/spreadsheetml/2006/main">
  <c r="G4" i="2" l="1"/>
  <c r="G24" i="2"/>
  <c r="G25" i="2" s="1"/>
  <c r="G29" i="2" s="1"/>
  <c r="B23" i="2"/>
  <c r="B7" i="2"/>
  <c r="G34" i="2"/>
  <c r="G35" i="2"/>
  <c r="B8" i="2"/>
  <c r="M43" i="3"/>
  <c r="N23" i="3"/>
  <c r="N7" i="3"/>
  <c r="L43" i="3"/>
  <c r="I9" i="3"/>
  <c r="O9" i="3" s="1"/>
  <c r="I11" i="3"/>
  <c r="O11" i="3"/>
  <c r="K11" i="3"/>
  <c r="K9" i="3"/>
  <c r="K7" i="3"/>
  <c r="I7" i="3"/>
  <c r="O7" i="3" s="1"/>
  <c r="I25" i="3"/>
  <c r="O29" i="3"/>
  <c r="O31" i="3"/>
  <c r="O33" i="3"/>
  <c r="O35" i="3"/>
  <c r="O3" i="3"/>
  <c r="K27" i="3"/>
  <c r="K25" i="3"/>
  <c r="K23" i="3"/>
  <c r="K21" i="3"/>
  <c r="K19" i="3"/>
  <c r="K17" i="3"/>
  <c r="K15" i="3"/>
  <c r="K13" i="3"/>
  <c r="I27" i="3"/>
  <c r="O27" i="3"/>
  <c r="I23" i="3"/>
  <c r="O23" i="3"/>
  <c r="I21" i="3"/>
  <c r="I19" i="3"/>
  <c r="O19" i="3"/>
  <c r="I17" i="3"/>
  <c r="O17" i="3"/>
  <c r="I15" i="3"/>
  <c r="O15" i="3"/>
  <c r="I13" i="3"/>
  <c r="O13" i="3" s="1"/>
  <c r="B27" i="3"/>
  <c r="B25" i="3"/>
  <c r="B23" i="3"/>
  <c r="B21" i="3"/>
  <c r="B19" i="3"/>
  <c r="B17" i="3"/>
  <c r="B15" i="3"/>
  <c r="B13" i="3"/>
  <c r="B11" i="3"/>
  <c r="B9" i="3"/>
  <c r="B7" i="3"/>
  <c r="B3" i="3"/>
  <c r="O21" i="3"/>
  <c r="O25" i="3"/>
  <c r="O37" i="3"/>
  <c r="O39" i="3"/>
  <c r="O41" i="3"/>
  <c r="J43" i="3"/>
  <c r="H43" i="3"/>
  <c r="N15" i="3"/>
  <c r="J54" i="1"/>
  <c r="N31" i="3"/>
  <c r="P31" i="3"/>
  <c r="B16" i="2"/>
  <c r="G9" i="2"/>
  <c r="D19" i="1"/>
  <c r="G61" i="1"/>
  <c r="H61" i="1"/>
  <c r="D63" i="1"/>
  <c r="D53" i="1"/>
  <c r="D43" i="1"/>
  <c r="D36" i="1"/>
  <c r="D25" i="1"/>
  <c r="I19" i="1"/>
  <c r="I8" i="1"/>
  <c r="I49" i="1"/>
  <c r="D8" i="1"/>
  <c r="F67" i="1"/>
  <c r="F65" i="1"/>
  <c r="F63" i="1"/>
  <c r="G11" i="2"/>
  <c r="G8" i="2"/>
  <c r="G5" i="2"/>
  <c r="G7" i="2"/>
  <c r="G36" i="2"/>
  <c r="G30" i="2"/>
  <c r="J50" i="1"/>
  <c r="N37" i="3"/>
  <c r="P37" i="3"/>
  <c r="N29" i="3"/>
  <c r="P29" i="3"/>
  <c r="N13" i="3"/>
  <c r="P15" i="3"/>
  <c r="J58" i="1"/>
  <c r="P23" i="3"/>
  <c r="B9" i="2"/>
  <c r="B24" i="2"/>
  <c r="P13" i="3"/>
  <c r="J53" i="1"/>
  <c r="N17" i="3"/>
  <c r="N39" i="3"/>
  <c r="P39" i="3"/>
  <c r="P7" i="3"/>
  <c r="K43" i="3"/>
  <c r="N25" i="3"/>
  <c r="N9" i="3"/>
  <c r="N11" i="3"/>
  <c r="N19" i="3"/>
  <c r="N27" i="3"/>
  <c r="N35" i="3"/>
  <c r="P35" i="3"/>
  <c r="N41" i="3"/>
  <c r="P41" i="3"/>
  <c r="N33" i="3"/>
  <c r="P33" i="3"/>
  <c r="N21" i="3"/>
  <c r="J51" i="1"/>
  <c r="P9" i="3"/>
  <c r="P21" i="3"/>
  <c r="J57" i="1"/>
  <c r="J60" i="1"/>
  <c r="P27" i="3"/>
  <c r="P25" i="3"/>
  <c r="J59" i="1"/>
  <c r="N43" i="3"/>
  <c r="J52" i="1"/>
  <c r="P11" i="3"/>
  <c r="P17" i="3"/>
  <c r="J55" i="1"/>
  <c r="J56" i="1"/>
  <c r="P19" i="3"/>
  <c r="J61" i="1"/>
  <c r="O43" i="3" l="1"/>
  <c r="I43" i="3"/>
  <c r="G32" i="2"/>
  <c r="G31" i="2"/>
  <c r="B15" i="2" s="1"/>
  <c r="G6" i="2" s="1"/>
  <c r="G28" i="2"/>
  <c r="B6" i="2" l="1"/>
  <c r="D54" i="1" s="1"/>
  <c r="B22" i="2"/>
  <c r="D13" i="1" s="1"/>
  <c r="B14" i="2"/>
  <c r="B5" i="2"/>
  <c r="D55" i="1" s="1"/>
  <c r="B21" i="2"/>
  <c r="D64" i="1"/>
  <c r="I24" i="1"/>
  <c r="I40" i="1"/>
  <c r="D15" i="1"/>
  <c r="I50" i="1"/>
  <c r="D31" i="1"/>
  <c r="I39" i="1"/>
  <c r="D67" i="1"/>
  <c r="D33" i="1"/>
  <c r="D40" i="1"/>
  <c r="I9" i="1"/>
  <c r="I10" i="1"/>
  <c r="I25" i="1"/>
  <c r="I59" i="1"/>
  <c r="I20" i="1"/>
  <c r="I58" i="1"/>
  <c r="I31" i="1"/>
  <c r="D49" i="1"/>
  <c r="I11" i="1"/>
  <c r="D32" i="1"/>
  <c r="I55" i="1"/>
  <c r="I51" i="1"/>
  <c r="I13" i="1"/>
  <c r="I57" i="1"/>
  <c r="I56" i="1"/>
  <c r="I34" i="1"/>
  <c r="I53" i="1"/>
  <c r="I26" i="1"/>
  <c r="D46" i="1"/>
  <c r="I52" i="1"/>
  <c r="I28" i="1"/>
  <c r="D45" i="1"/>
  <c r="D47" i="1"/>
  <c r="D66" i="1"/>
  <c r="I37" i="1"/>
  <c r="I23" i="1"/>
  <c r="I41" i="1"/>
  <c r="I54" i="1"/>
  <c r="D38" i="1"/>
  <c r="D39" i="1"/>
  <c r="I60" i="1"/>
  <c r="I22" i="1"/>
  <c r="I12" i="1"/>
  <c r="I27" i="1"/>
  <c r="D48" i="1"/>
  <c r="D65" i="1"/>
  <c r="I16" i="1"/>
  <c r="I43" i="1"/>
  <c r="I38" i="1" l="1"/>
  <c r="D28" i="1"/>
  <c r="D29" i="1"/>
  <c r="D11" i="1"/>
  <c r="D10" i="1"/>
  <c r="I42" i="1"/>
  <c r="D30" i="1"/>
  <c r="D12" i="1"/>
  <c r="D9" i="1"/>
  <c r="D26" i="1"/>
  <c r="D37" i="1"/>
  <c r="D41" i="1" s="1"/>
  <c r="D20" i="1"/>
  <c r="D22" i="1"/>
  <c r="D21" i="1"/>
  <c r="I21" i="1"/>
  <c r="I44" i="1"/>
  <c r="D16" i="1"/>
  <c r="D60" i="1"/>
  <c r="I15" i="1"/>
  <c r="I35" i="1"/>
  <c r="I29" i="1"/>
  <c r="I33" i="1"/>
  <c r="D56" i="1"/>
  <c r="D27" i="1"/>
  <c r="I32" i="1"/>
  <c r="D68" i="1"/>
  <c r="D58" i="1"/>
  <c r="D57" i="1"/>
  <c r="D14" i="1"/>
  <c r="I61" i="1"/>
  <c r="I14" i="1"/>
  <c r="I36" i="1"/>
  <c r="D44" i="1"/>
  <c r="D59" i="1"/>
  <c r="D69" i="1"/>
  <c r="D50" i="1"/>
  <c r="I30" i="1"/>
  <c r="D17" i="1" l="1"/>
  <c r="E70" i="1" s="1"/>
  <c r="D23" i="1"/>
  <c r="I17" i="1"/>
  <c r="D70" i="1"/>
  <c r="D34" i="1"/>
  <c r="D61" i="1"/>
  <c r="I45" i="1"/>
  <c r="D51" i="1"/>
  <c r="G12" i="2" l="1"/>
  <c r="J20" i="1"/>
  <c r="J45" i="1"/>
  <c r="E27" i="1"/>
  <c r="E61" i="1"/>
  <c r="E41" i="1"/>
  <c r="E34" i="1"/>
  <c r="E28" i="1"/>
  <c r="I62" i="1"/>
  <c r="I63" i="1"/>
  <c r="J31" i="1"/>
  <c r="E23" i="1"/>
  <c r="J21" i="1"/>
  <c r="J32" i="1"/>
  <c r="E26" i="1"/>
  <c r="J17" i="1"/>
  <c r="H46" i="1"/>
  <c r="I65" i="1" s="1"/>
  <c r="H65" i="1" s="1"/>
  <c r="E51" i="1"/>
  <c r="I46" i="1"/>
  <c r="I71" i="1" l="1"/>
  <c r="J71" i="1" s="1"/>
  <c r="I67" i="1"/>
  <c r="H47" i="1"/>
  <c r="D44" i="3" s="1"/>
  <c r="I69" i="1"/>
  <c r="J69" i="1" s="1"/>
  <c r="I47" i="1"/>
  <c r="K45" i="3" l="1"/>
  <c r="D46" i="3"/>
</calcChain>
</file>

<file path=xl/sharedStrings.xml><?xml version="1.0" encoding="utf-8"?>
<sst xmlns="http://schemas.openxmlformats.org/spreadsheetml/2006/main" count="470" uniqueCount="215">
  <si>
    <t>INCOME</t>
  </si>
  <si>
    <t>Family Allowance</t>
  </si>
  <si>
    <t>Board</t>
  </si>
  <si>
    <t>TOTAL INCOME</t>
  </si>
  <si>
    <t>HOUSING EXPENSES</t>
  </si>
  <si>
    <t>TOTAL</t>
  </si>
  <si>
    <t xml:space="preserve"> </t>
  </si>
  <si>
    <t>UTILITIES</t>
  </si>
  <si>
    <t>CAR EXPENSES</t>
  </si>
  <si>
    <t>Petrol</t>
  </si>
  <si>
    <t>Drivers Licence</t>
  </si>
  <si>
    <t>FOOD</t>
  </si>
  <si>
    <t>Milk</t>
  </si>
  <si>
    <t>Bread</t>
  </si>
  <si>
    <t>Lunches</t>
  </si>
  <si>
    <t>Pet Food</t>
  </si>
  <si>
    <t>MEDICAL</t>
  </si>
  <si>
    <t>Doctors Fees</t>
  </si>
  <si>
    <t>Vet Fees</t>
  </si>
  <si>
    <t>PERSONAL EXPENSES</t>
  </si>
  <si>
    <t>Drinks (Alcoholic)</t>
  </si>
  <si>
    <t>Cigarettes</t>
  </si>
  <si>
    <t>Land Rates</t>
  </si>
  <si>
    <t>Water Charges</t>
  </si>
  <si>
    <t>Chemist</t>
  </si>
  <si>
    <t>Other Medication</t>
  </si>
  <si>
    <t>Net Income 1st Wage</t>
  </si>
  <si>
    <t>Net Income 2nd Wage</t>
  </si>
  <si>
    <t>Other</t>
  </si>
  <si>
    <t>Rent Assistance</t>
  </si>
  <si>
    <t>Supermarket</t>
  </si>
  <si>
    <t>Butcher</t>
  </si>
  <si>
    <t>Adults</t>
  </si>
  <si>
    <t>Children</t>
  </si>
  <si>
    <t>Fortnightly</t>
  </si>
  <si>
    <t>Other Medical</t>
  </si>
  <si>
    <t>Rent DOH</t>
  </si>
  <si>
    <t>Rent Private</t>
  </si>
  <si>
    <t>Other Gambling</t>
  </si>
  <si>
    <t>Eating Out/Take-away Food</t>
  </si>
  <si>
    <t>Other Entertainment</t>
  </si>
  <si>
    <t>Lotto/Powerball/Lotteries</t>
  </si>
  <si>
    <t xml:space="preserve"> MONTHLY</t>
  </si>
  <si>
    <t>Canteen</t>
  </si>
  <si>
    <t>Dentists Fees</t>
  </si>
  <si>
    <t>Life/Accident Insurance</t>
  </si>
  <si>
    <t>Electricity</t>
  </si>
  <si>
    <t>Gas</t>
  </si>
  <si>
    <t>Insurance</t>
  </si>
  <si>
    <t>Weekly</t>
  </si>
  <si>
    <t>Days In Year</t>
  </si>
  <si>
    <t>Months In Year</t>
  </si>
  <si>
    <t>Today</t>
  </si>
  <si>
    <t>Monthly</t>
  </si>
  <si>
    <t>Vitamins etc.</t>
  </si>
  <si>
    <t>Days In Fortnight</t>
  </si>
  <si>
    <t>Days In Week</t>
  </si>
  <si>
    <t>Days In Month</t>
  </si>
  <si>
    <t>Weeks In Year</t>
  </si>
  <si>
    <t>Weeks In Month</t>
  </si>
  <si>
    <t>Weeks In Fortnight</t>
  </si>
  <si>
    <t>Fortnights In Year</t>
  </si>
  <si>
    <t>Fortnights In Month</t>
  </si>
  <si>
    <t>Months In Quarter</t>
  </si>
  <si>
    <t>Quarters In Year</t>
  </si>
  <si>
    <t>Income</t>
  </si>
  <si>
    <t>Expense</t>
  </si>
  <si>
    <t>Frequency</t>
  </si>
  <si>
    <t>Annual Rate</t>
  </si>
  <si>
    <t>Value</t>
  </si>
  <si>
    <t>Week</t>
  </si>
  <si>
    <t>Fortnight</t>
  </si>
  <si>
    <t>Month</t>
  </si>
  <si>
    <t>Annual</t>
  </si>
  <si>
    <t>Quarter</t>
  </si>
  <si>
    <t>2 Month</t>
  </si>
  <si>
    <t>Description 1</t>
  </si>
  <si>
    <t>Description 2</t>
  </si>
  <si>
    <t>Family Clothing</t>
  </si>
  <si>
    <t>Work Clothing/Dry Cleaning</t>
  </si>
  <si>
    <t>Birthday/Anniversary/Easter</t>
  </si>
  <si>
    <t>School Fees</t>
  </si>
  <si>
    <t>Uniform/Bag/Shoes</t>
  </si>
  <si>
    <t>NRMA Annual Membership</t>
  </si>
  <si>
    <t>BILL PAYING ACCOUNT                (bpa)</t>
  </si>
  <si>
    <t>OTHER SAVINGS ACCOUNT               (osa)</t>
  </si>
  <si>
    <t>(bpa)</t>
  </si>
  <si>
    <t>(osa)</t>
  </si>
  <si>
    <t>Centrelink Benefit/Pension</t>
  </si>
  <si>
    <t xml:space="preserve"> Weekly</t>
  </si>
  <si>
    <t>Income Item</t>
  </si>
  <si>
    <t>Income Item Defaults</t>
  </si>
  <si>
    <t>Dialog First Wage Frequency</t>
  </si>
  <si>
    <t>Default</t>
  </si>
  <si>
    <t>DialogDataFirstWageShown</t>
  </si>
  <si>
    <t>DialogDataFirstWageButtonOk</t>
  </si>
  <si>
    <t>DialogDataFirstWageButtonCancel</t>
  </si>
  <si>
    <t>DialogDataFirstWageComboboxFrequencyIndex</t>
  </si>
  <si>
    <t>DialogDataFirstWageComboboxFrequency</t>
  </si>
  <si>
    <t>Dialog Data</t>
  </si>
  <si>
    <t>Program Data</t>
  </si>
  <si>
    <t>LookupFrequencyDefaultOtherPayments</t>
  </si>
  <si>
    <t>BPA-OSA</t>
  </si>
  <si>
    <t>Items</t>
  </si>
  <si>
    <t>ConstStringBPA</t>
  </si>
  <si>
    <t>ConstStringOSA</t>
  </si>
  <si>
    <t>ConstStringBlank</t>
  </si>
  <si>
    <t>Colour</t>
  </si>
  <si>
    <t>Color</t>
  </si>
  <si>
    <t>Date Constants</t>
  </si>
  <si>
    <t>&lt;= Marks The Default List Value</t>
  </si>
  <si>
    <t>Column Constants</t>
  </si>
  <si>
    <t>Tables and Lists</t>
  </si>
  <si>
    <t>Variables and Constants</t>
  </si>
  <si>
    <t>Lt Yellow</t>
  </si>
  <si>
    <t>Pink</t>
  </si>
  <si>
    <t>Dk Yellow</t>
  </si>
  <si>
    <t>WorkingPassword</t>
  </si>
  <si>
    <t>fred</t>
  </si>
  <si>
    <t>TotalIncome</t>
  </si>
  <si>
    <t>Date</t>
  </si>
  <si>
    <t>Personal Expenses Defaults</t>
  </si>
  <si>
    <t>Personal Expense Item</t>
  </si>
  <si>
    <t>Pocket Money/Treats</t>
  </si>
  <si>
    <t>EDUCATION ETC.</t>
  </si>
  <si>
    <t>Hair Dresser/Barber</t>
  </si>
  <si>
    <t>Gardening/Lawn Mowing</t>
  </si>
  <si>
    <t>Stationery/Equipment</t>
  </si>
  <si>
    <t>Insurance - Home/Contents</t>
  </si>
  <si>
    <t>Child Support/Maintenance</t>
  </si>
  <si>
    <t xml:space="preserve">Total of all day to day expenses </t>
  </si>
  <si>
    <t xml:space="preserve">Income less day to day expenses </t>
  </si>
  <si>
    <t>Amount</t>
  </si>
  <si>
    <t>Period</t>
  </si>
  <si>
    <t>ConstWorksheetNameBudget</t>
  </si>
  <si>
    <t>ConstWorksheetNameWorkingData</t>
  </si>
  <si>
    <t>Leave 1 One Blank</t>
  </si>
  <si>
    <t>ListFrequencyBudgetSelection</t>
  </si>
  <si>
    <t>ListFrequencyBudgetSelectionValue</t>
  </si>
  <si>
    <t>ListFrequencyBudgetSelectionDescription1</t>
  </si>
  <si>
    <t>ListFrequencyBudgetSelectionDescription2</t>
  </si>
  <si>
    <t>BudgetDateSelectionValue</t>
  </si>
  <si>
    <t>Budget Frequency</t>
  </si>
  <si>
    <t>Budget</t>
  </si>
  <si>
    <t>Working Data</t>
  </si>
  <si>
    <t>Financial Organiser</t>
  </si>
  <si>
    <t>Other Constants</t>
  </si>
  <si>
    <t>ConstExcelVersionNumber</t>
  </si>
  <si>
    <t>ConstOperatingSystem</t>
  </si>
  <si>
    <t>ConstApplicationVersion</t>
  </si>
  <si>
    <t>1.0</t>
  </si>
  <si>
    <t>Information as supplied by the client</t>
  </si>
  <si>
    <t>Private Medical Insurance</t>
  </si>
  <si>
    <t>Mortgage ($)</t>
  </si>
  <si>
    <t>Body Corporate/Repairs</t>
  </si>
  <si>
    <t>Service/Tyres/Repairs</t>
  </si>
  <si>
    <t>Rego/Green Pink Slip</t>
  </si>
  <si>
    <t>Fares - Taxis/Buses/Trains</t>
  </si>
  <si>
    <t>Excursions/Activities/Sports</t>
  </si>
  <si>
    <t>Day Care/After School Care</t>
  </si>
  <si>
    <t>Additional Superannuation</t>
  </si>
  <si>
    <t>Union/Association Fees</t>
  </si>
  <si>
    <t>Christmas Gifts &amp; Other Costs</t>
  </si>
  <si>
    <t>Papers/Magazines/Books</t>
  </si>
  <si>
    <t>Videos/Game Hire/Cinema</t>
  </si>
  <si>
    <t>Sports/Hobbies/Gym Fees</t>
  </si>
  <si>
    <t>Holidays/Day Trips/Outings</t>
  </si>
  <si>
    <t>Fruit &amp; Vegetables</t>
  </si>
  <si>
    <t>IsClosingState</t>
  </si>
  <si>
    <t>No Selection</t>
  </si>
  <si>
    <t>Account</t>
  </si>
  <si>
    <t>Interest</t>
  </si>
  <si>
    <t>Account Number</t>
  </si>
  <si>
    <t>Credit</t>
  </si>
  <si>
    <t>Arrears</t>
  </si>
  <si>
    <t>Offer</t>
  </si>
  <si>
    <t xml:space="preserve">Pro-Rata </t>
  </si>
  <si>
    <t>Pro-Rata</t>
  </si>
  <si>
    <t>Type</t>
  </si>
  <si>
    <t>Rate</t>
  </si>
  <si>
    <t>Limit</t>
  </si>
  <si>
    <t>Balance</t>
  </si>
  <si>
    <t>Payment</t>
  </si>
  <si>
    <t>A/C Balance</t>
  </si>
  <si>
    <t>Totals</t>
  </si>
  <si>
    <t>Surplus/Deficit</t>
  </si>
  <si>
    <t>Available for Pro- rata</t>
  </si>
  <si>
    <t>Creditor's Name</t>
  </si>
  <si>
    <t>Comments</t>
  </si>
  <si>
    <t>Additional Information</t>
  </si>
  <si>
    <t>ListFrequencyBudgetSelectionValueMonthly</t>
  </si>
  <si>
    <t>Client Reference Number</t>
  </si>
  <si>
    <t>Offer/Month</t>
  </si>
  <si>
    <t>Remaining</t>
  </si>
  <si>
    <t>*Payments</t>
  </si>
  <si>
    <t>* Payments remaining figures are based on indicated account balances with no ongoing interest or other charges being applied to the account.</t>
  </si>
  <si>
    <t>CREDITOR TOTALS</t>
  </si>
  <si>
    <t>CENTRELINK DEBTS</t>
  </si>
  <si>
    <t>Pay TV</t>
  </si>
  <si>
    <t>Internet</t>
  </si>
  <si>
    <t>Bank Fees/Charges</t>
  </si>
  <si>
    <t>Appliance Rentals</t>
  </si>
  <si>
    <t>Monthly Surplus from Budget</t>
  </si>
  <si>
    <t>Creditor</t>
  </si>
  <si>
    <t>Creditor's Sheet</t>
  </si>
  <si>
    <t>Designed and developed by Warren Brown and Alex Mojzes</t>
  </si>
  <si>
    <t>Designed and developed by Warren Brown</t>
  </si>
  <si>
    <t>internet</t>
  </si>
  <si>
    <t>Centrelink Benefit/Carers Pension</t>
  </si>
  <si>
    <t>Energy Suplement</t>
  </si>
  <si>
    <t>Windows (32-bit) NT 6.02</t>
  </si>
  <si>
    <t>15.0</t>
  </si>
  <si>
    <t>MPES fines</t>
  </si>
  <si>
    <t>Mobile x 1</t>
  </si>
  <si>
    <t>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</si>
</sst>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d\ mmmm\,\ yyyy"/>
    <numFmt numFmtId="168" formatCode="_-[$$-C09]* #,##0_-;\-[$$-C09]* #,##0_-;_-[$$-C09]* &quot;-&quot;_-;_-@_-"/>
    <numFmt numFmtId="169" formatCode="0%;0%;0%;[Red]&quot;%&quot;@"/>
    <numFmt numFmtId="170" formatCode="d\ mmmm\ yyyy"/>
    <numFmt numFmtId="171" formatCode="[Black]&quot;$&quot;#,##0_);[Red]\(&quot;$&quot;#,##0\)"/>
    <numFmt numFmtId="172" formatCode="[Black]#,##0%_);[Red]\(#,##0%\)"/>
    <numFmt numFmtId="173" formatCode="#,##0_ ;\-#,##0\ "/>
    <numFmt numFmtId="174" formatCode="&quot;$&quot;#,##0"/>
    <numFmt numFmtId="175" formatCode="[$-C09]dd\-mmmm\-yyyy;@"/>
    <numFmt numFmtId="176" formatCode=";;;@"/>
    <numFmt numFmtId="177" formatCode="_-&quot;$&quot;#,##0_-;\-&quot;$&quot;#,##0_-;;_-@_-"/>
    <numFmt numFmtId="178" formatCode="#,###_ ;\-#,###\ "/>
  </numFmts>
  <fonts count="5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sz val="8"/>
      <name val="Verdana Ref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6"/>
      <color indexed="9"/>
      <name val="Tahoma"/>
      <family val="2"/>
    </font>
    <font>
      <b/>
      <sz val="8"/>
      <color indexed="63"/>
      <name val="Verdana Ref"/>
      <family val="2"/>
    </font>
    <font>
      <b/>
      <sz val="16"/>
      <color indexed="9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8"/>
      <name val="Arial"/>
    </font>
    <font>
      <b/>
      <sz val="8"/>
      <name val="Arial"/>
      <family val="2"/>
    </font>
    <font>
      <b/>
      <sz val="10"/>
      <name val="Arial"/>
    </font>
    <font>
      <b/>
      <sz val="12"/>
      <name val="Comic Sans MS"/>
      <family val="4"/>
    </font>
    <font>
      <i/>
      <sz val="10"/>
      <name val="Arial"/>
    </font>
    <font>
      <sz val="9"/>
      <name val="Arial"/>
    </font>
    <font>
      <b/>
      <sz val="10"/>
      <name val="Comic Sans MS"/>
      <family val="4"/>
    </font>
    <font>
      <b/>
      <u/>
      <sz val="10"/>
      <name val="Comic Sans MS"/>
      <family val="4"/>
    </font>
    <font>
      <b/>
      <i/>
      <u/>
      <sz val="10"/>
      <name val="Comic Sans MS"/>
      <family val="4"/>
    </font>
    <font>
      <sz val="9"/>
      <name val="Arial"/>
      <family val="2"/>
    </font>
    <font>
      <b/>
      <sz val="9"/>
      <name val="Arial"/>
    </font>
    <font>
      <i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Comic Sans MS"/>
      <family val="4"/>
    </font>
    <font>
      <b/>
      <sz val="16"/>
      <name val="Comic Sans MS"/>
      <family val="4"/>
    </font>
    <font>
      <sz val="16"/>
      <name val="Arial"/>
    </font>
    <font>
      <sz val="16"/>
      <name val="Comic Sans MS"/>
      <family val="4"/>
    </font>
    <font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4"/>
      <name val="Arial"/>
    </font>
    <font>
      <sz val="18"/>
      <name val="Comic Sans MS"/>
      <family val="4"/>
    </font>
    <font>
      <sz val="12"/>
      <name val="Arial"/>
    </font>
    <font>
      <sz val="11"/>
      <name val="Arial"/>
    </font>
    <font>
      <b/>
      <sz val="12"/>
      <name val="Arial"/>
    </font>
    <font>
      <b/>
      <sz val="10.5"/>
      <name val="Arial"/>
      <family val="2"/>
    </font>
    <font>
      <sz val="13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</font>
    <font>
      <i/>
      <sz val="11"/>
      <name val="Arial"/>
      <family val="2"/>
    </font>
    <font>
      <sz val="7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37" fontId="9" fillId="2" borderId="1" applyBorder="0" applyProtection="0">
      <alignment vertical="center"/>
    </xf>
    <xf numFmtId="0" fontId="10" fillId="3" borderId="0" applyBorder="0">
      <alignment horizontal="left" vertical="center" indent="1"/>
    </xf>
    <xf numFmtId="165" fontId="1" fillId="0" borderId="0" applyFont="0" applyFill="0" applyBorder="0" applyAlignment="0" applyProtection="0"/>
    <xf numFmtId="37" fontId="11" fillId="4" borderId="2" applyBorder="0" applyAlignment="0">
      <alignment horizontal="left" vertical="center" indent="1"/>
    </xf>
    <xf numFmtId="37" fontId="12" fillId="5" borderId="3" applyBorder="0">
      <alignment vertical="center"/>
    </xf>
    <xf numFmtId="0" fontId="12" fillId="6" borderId="4" applyNumberFormat="0" applyBorder="0">
      <alignment horizontal="left" vertical="top" indent="1"/>
    </xf>
    <xf numFmtId="0" fontId="12" fillId="2" borderId="0" applyBorder="0">
      <alignment horizontal="left" vertical="center" indent="1"/>
    </xf>
    <xf numFmtId="0" fontId="12" fillId="0" borderId="4" applyNumberFormat="0" applyFill="0">
      <alignment horizontal="centerContinuous" vertical="top"/>
    </xf>
    <xf numFmtId="0" fontId="10" fillId="5" borderId="0">
      <alignment horizontal="right"/>
    </xf>
    <xf numFmtId="166" fontId="9" fillId="2" borderId="5" applyBorder="0">
      <alignment horizontal="left" vertical="center" indent="2"/>
    </xf>
    <xf numFmtId="9" fontId="1" fillId="0" borderId="0" applyFont="0" applyFill="0" applyBorder="0" applyAlignment="0" applyProtection="0"/>
    <xf numFmtId="0" fontId="13" fillId="3" borderId="0">
      <alignment horizontal="left" indent="1"/>
    </xf>
    <xf numFmtId="0" fontId="14" fillId="3" borderId="0" applyBorder="0">
      <alignment horizontal="left" vertical="center" indent="1"/>
    </xf>
    <xf numFmtId="0" fontId="15" fillId="7" borderId="0" applyBorder="0">
      <alignment horizontal="left" vertical="center" indent="1"/>
    </xf>
  </cellStyleXfs>
  <cellXfs count="4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4" fontId="3" fillId="0" borderId="0" xfId="0" applyNumberFormat="1" applyFont="1" applyFill="1" applyBorder="1" applyAlignment="1"/>
    <xf numFmtId="0" fontId="21" fillId="0" borderId="0" xfId="0" applyFont="1"/>
    <xf numFmtId="0" fontId="19" fillId="0" borderId="0" xfId="0" applyFont="1" applyAlignment="1" applyProtection="1"/>
    <xf numFmtId="0" fontId="8" fillId="0" borderId="0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164" fontId="6" fillId="0" borderId="0" xfId="0" applyNumberFormat="1" applyFont="1" applyAlignment="1" applyProtection="1"/>
    <xf numFmtId="0" fontId="6" fillId="0" borderId="0" xfId="0" applyFont="1" applyFill="1" applyBorder="1" applyAlignment="1" applyProtection="1"/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>
      <protection hidden="1"/>
    </xf>
    <xf numFmtId="0" fontId="20" fillId="0" borderId="6" xfId="0" applyFont="1" applyFill="1" applyBorder="1" applyAlignment="1" applyProtection="1">
      <alignment horizontal="center" vertical="center"/>
    </xf>
    <xf numFmtId="0" fontId="3" fillId="8" borderId="7" xfId="0" applyNumberFormat="1" applyFont="1" applyFill="1" applyBorder="1" applyAlignment="1" applyProtection="1">
      <protection hidden="1"/>
    </xf>
    <xf numFmtId="0" fontId="3" fillId="9" borderId="8" xfId="0" applyNumberFormat="1" applyFont="1" applyFill="1" applyBorder="1" applyAlignment="1" applyProtection="1">
      <protection hidden="1"/>
    </xf>
    <xf numFmtId="0" fontId="2" fillId="10" borderId="9" xfId="0" applyFont="1" applyFill="1" applyBorder="1" applyAlignment="1">
      <alignment horizontal="left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left"/>
    </xf>
    <xf numFmtId="0" fontId="0" fillId="10" borderId="7" xfId="0" applyFill="1" applyBorder="1"/>
    <xf numFmtId="0" fontId="0" fillId="10" borderId="13" xfId="0" applyFill="1" applyBorder="1"/>
    <xf numFmtId="0" fontId="0" fillId="10" borderId="12" xfId="0" applyFill="1" applyBorder="1"/>
    <xf numFmtId="0" fontId="0" fillId="10" borderId="14" xfId="0" applyFill="1" applyBorder="1"/>
    <xf numFmtId="0" fontId="0" fillId="10" borderId="8" xfId="0" applyFill="1" applyBorder="1"/>
    <xf numFmtId="0" fontId="0" fillId="10" borderId="15" xfId="0" applyFill="1" applyBorder="1"/>
    <xf numFmtId="0" fontId="3" fillId="10" borderId="8" xfId="0" applyNumberFormat="1" applyFont="1" applyFill="1" applyBorder="1" applyAlignment="1">
      <alignment horizontal="right"/>
    </xf>
    <xf numFmtId="0" fontId="3" fillId="10" borderId="12" xfId="0" applyFont="1" applyFill="1" applyBorder="1" applyAlignment="1"/>
    <xf numFmtId="0" fontId="3" fillId="10" borderId="7" xfId="0" applyFont="1" applyFill="1" applyBorder="1" applyAlignment="1">
      <alignment horizontal="left"/>
    </xf>
    <xf numFmtId="0" fontId="3" fillId="10" borderId="13" xfId="0" applyFont="1" applyFill="1" applyBorder="1" applyAlignment="1">
      <alignment horizontal="left"/>
    </xf>
    <xf numFmtId="0" fontId="4" fillId="10" borderId="12" xfId="0" applyFont="1" applyFill="1" applyBorder="1" applyAlignment="1"/>
    <xf numFmtId="0" fontId="3" fillId="10" borderId="14" xfId="0" applyFont="1" applyFill="1" applyBorder="1" applyAlignment="1"/>
    <xf numFmtId="0" fontId="3" fillId="10" borderId="8" xfId="0" applyFont="1" applyFill="1" applyBorder="1" applyAlignment="1">
      <alignment horizontal="left"/>
    </xf>
    <xf numFmtId="0" fontId="3" fillId="10" borderId="15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17" fillId="11" borderId="18" xfId="0" applyFont="1" applyFill="1" applyBorder="1" applyAlignment="1">
      <alignment horizontal="center"/>
    </xf>
    <xf numFmtId="14" fontId="17" fillId="11" borderId="19" xfId="0" applyNumberFormat="1" applyFont="1" applyFill="1" applyBorder="1" applyAlignment="1">
      <alignment horizontal="center"/>
    </xf>
    <xf numFmtId="0" fontId="3" fillId="11" borderId="9" xfId="0" applyFont="1" applyFill="1" applyBorder="1" applyAlignment="1"/>
    <xf numFmtId="14" fontId="3" fillId="11" borderId="11" xfId="0" applyNumberFormat="1" applyFont="1" applyFill="1" applyBorder="1" applyAlignment="1"/>
    <xf numFmtId="0" fontId="0" fillId="11" borderId="12" xfId="0" applyFill="1" applyBorder="1"/>
    <xf numFmtId="0" fontId="0" fillId="11" borderId="13" xfId="0" applyFill="1" applyBorder="1" applyAlignment="1">
      <alignment horizontal="right"/>
    </xf>
    <xf numFmtId="0" fontId="3" fillId="11" borderId="12" xfId="0" applyFont="1" applyFill="1" applyBorder="1"/>
    <xf numFmtId="0" fontId="0" fillId="11" borderId="14" xfId="0" applyFill="1" applyBorder="1"/>
    <xf numFmtId="0" fontId="17" fillId="11" borderId="18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0" fillId="11" borderId="9" xfId="0" applyFill="1" applyBorder="1"/>
    <xf numFmtId="0" fontId="0" fillId="11" borderId="15" xfId="0" applyFill="1" applyBorder="1" applyAlignment="1">
      <alignment horizontal="right"/>
    </xf>
    <xf numFmtId="0" fontId="3" fillId="11" borderId="9" xfId="0" applyFont="1" applyFill="1" applyBorder="1"/>
    <xf numFmtId="0" fontId="0" fillId="11" borderId="11" xfId="0" applyFill="1" applyBorder="1"/>
    <xf numFmtId="0" fontId="3" fillId="11" borderId="13" xfId="0" applyFont="1" applyFill="1" applyBorder="1" applyAlignment="1"/>
    <xf numFmtId="0" fontId="3" fillId="11" borderId="12" xfId="0" applyFont="1" applyFill="1" applyBorder="1" applyAlignment="1"/>
    <xf numFmtId="0" fontId="0" fillId="11" borderId="13" xfId="0" applyFill="1" applyBorder="1"/>
    <xf numFmtId="0" fontId="3" fillId="11" borderId="14" xfId="0" applyFont="1" applyFill="1" applyBorder="1"/>
    <xf numFmtId="167" fontId="0" fillId="11" borderId="15" xfId="0" applyNumberFormat="1" applyFill="1" applyBorder="1"/>
    <xf numFmtId="0" fontId="17" fillId="11" borderId="19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left"/>
    </xf>
    <xf numFmtId="0" fontId="3" fillId="11" borderId="11" xfId="0" applyFont="1" applyFill="1" applyBorder="1" applyAlignment="1"/>
    <xf numFmtId="0" fontId="3" fillId="11" borderId="12" xfId="0" applyFont="1" applyFill="1" applyBorder="1" applyAlignment="1">
      <alignment horizontal="left"/>
    </xf>
    <xf numFmtId="1" fontId="0" fillId="11" borderId="13" xfId="0" applyNumberFormat="1" applyFill="1" applyBorder="1"/>
    <xf numFmtId="1" fontId="0" fillId="11" borderId="15" xfId="0" applyNumberFormat="1" applyFill="1" applyBorder="1"/>
    <xf numFmtId="0" fontId="17" fillId="11" borderId="16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/>
    </xf>
    <xf numFmtId="0" fontId="3" fillId="10" borderId="12" xfId="0" applyFont="1" applyFill="1" applyBorder="1"/>
    <xf numFmtId="0" fontId="3" fillId="10" borderId="14" xfId="0" applyFont="1" applyFill="1" applyBorder="1"/>
    <xf numFmtId="0" fontId="2" fillId="10" borderId="9" xfId="0" applyFont="1" applyFill="1" applyBorder="1"/>
    <xf numFmtId="49" fontId="0" fillId="11" borderId="13" xfId="0" applyNumberFormat="1" applyFill="1" applyBorder="1" applyAlignment="1">
      <alignment horizontal="right"/>
    </xf>
    <xf numFmtId="0" fontId="3" fillId="11" borderId="15" xfId="0" applyFont="1" applyFill="1" applyBorder="1" applyAlignment="1">
      <alignment horizontal="right"/>
    </xf>
    <xf numFmtId="0" fontId="19" fillId="0" borderId="0" xfId="0" applyFont="1" applyFill="1" applyAlignment="1" applyProtection="1"/>
    <xf numFmtId="2" fontId="6" fillId="0" borderId="0" xfId="0" applyNumberFormat="1" applyFont="1" applyAlignment="1" applyProtection="1"/>
    <xf numFmtId="2" fontId="6" fillId="0" borderId="0" xfId="0" applyNumberFormat="1" applyFont="1" applyFill="1" applyAlignment="1" applyProtection="1"/>
    <xf numFmtId="0" fontId="20" fillId="12" borderId="21" xfId="0" applyFont="1" applyFill="1" applyBorder="1" applyAlignment="1">
      <alignment horizontal="center"/>
    </xf>
    <xf numFmtId="164" fontId="6" fillId="0" borderId="0" xfId="0" applyNumberFormat="1" applyFont="1" applyFill="1" applyAlignment="1" applyProtection="1">
      <alignment horizontal="left"/>
    </xf>
    <xf numFmtId="2" fontId="19" fillId="0" borderId="0" xfId="0" applyNumberFormat="1" applyFont="1" applyFill="1" applyAlignment="1" applyProtection="1"/>
    <xf numFmtId="0" fontId="36" fillId="0" borderId="0" xfId="0" applyFont="1" applyAlignment="1" applyProtection="1">
      <alignment horizontal="right"/>
    </xf>
    <xf numFmtId="0" fontId="36" fillId="0" borderId="0" xfId="0" applyFont="1" applyAlignment="1">
      <alignment horizontal="right"/>
    </xf>
    <xf numFmtId="164" fontId="34" fillId="0" borderId="0" xfId="0" applyNumberFormat="1" applyFont="1" applyFill="1" applyBorder="1" applyAlignment="1" applyProtection="1">
      <alignment horizontal="center"/>
    </xf>
    <xf numFmtId="0" fontId="3" fillId="11" borderId="13" xfId="0" applyFont="1" applyFill="1" applyBorder="1" applyAlignment="1">
      <alignment horizontal="right"/>
    </xf>
    <xf numFmtId="49" fontId="0" fillId="11" borderId="15" xfId="0" applyNumberFormat="1" applyFill="1" applyBorder="1" applyAlignment="1">
      <alignment horizontal="right"/>
    </xf>
    <xf numFmtId="173" fontId="0" fillId="11" borderId="13" xfId="0" applyNumberFormat="1" applyFill="1" applyBorder="1" applyAlignment="1">
      <alignment horizontal="right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/>
    </xf>
    <xf numFmtId="0" fontId="0" fillId="11" borderId="22" xfId="0" applyFill="1" applyBorder="1"/>
    <xf numFmtId="49" fontId="0" fillId="11" borderId="23" xfId="0" applyNumberForma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12" borderId="7" xfId="0" applyNumberFormat="1" applyFont="1" applyFill="1" applyBorder="1" applyAlignment="1" applyProtection="1">
      <protection hidden="1"/>
    </xf>
    <xf numFmtId="0" fontId="0" fillId="0" borderId="24" xfId="0" applyBorder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25" xfId="0" applyBorder="1" applyAlignment="1"/>
    <xf numFmtId="0" fontId="40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2" fillId="10" borderId="26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0" fillId="10" borderId="29" xfId="0" applyFill="1" applyBorder="1"/>
    <xf numFmtId="0" fontId="2" fillId="10" borderId="30" xfId="0" applyFont="1" applyFill="1" applyBorder="1" applyAlignment="1">
      <alignment horizontal="center"/>
    </xf>
    <xf numFmtId="0" fontId="0" fillId="10" borderId="31" xfId="0" applyFill="1" applyBorder="1"/>
    <xf numFmtId="0" fontId="0" fillId="0" borderId="0" xfId="0" applyBorder="1" applyAlignment="1" applyProtection="1">
      <alignment horizontal="right"/>
    </xf>
    <xf numFmtId="0" fontId="19" fillId="0" borderId="24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8" fillId="0" borderId="32" xfId="0" applyFont="1" applyBorder="1" applyAlignment="1" applyProtection="1">
      <alignment horizontal="center"/>
    </xf>
    <xf numFmtId="0" fontId="19" fillId="0" borderId="32" xfId="0" applyFont="1" applyBorder="1" applyAlignment="1" applyProtection="1"/>
    <xf numFmtId="0" fontId="6" fillId="0" borderId="24" xfId="0" applyFont="1" applyFill="1" applyBorder="1" applyAlignment="1" applyProtection="1"/>
    <xf numFmtId="0" fontId="19" fillId="0" borderId="0" xfId="0" applyFont="1" applyBorder="1" applyAlignment="1" applyProtection="1"/>
    <xf numFmtId="0" fontId="26" fillId="0" borderId="24" xfId="0" applyFont="1" applyFill="1" applyBorder="1" applyAlignment="1" applyProtection="1"/>
    <xf numFmtId="0" fontId="34" fillId="0" borderId="0" xfId="0" applyFont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/>
    <xf numFmtId="0" fontId="3" fillId="0" borderId="24" xfId="0" applyFont="1" applyBorder="1" applyAlignment="1" applyProtection="1">
      <protection locked="0"/>
    </xf>
    <xf numFmtId="164" fontId="6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protection locked="0"/>
    </xf>
    <xf numFmtId="49" fontId="20" fillId="0" borderId="32" xfId="0" applyNumberFormat="1" applyFont="1" applyFill="1" applyBorder="1" applyAlignment="1" applyProtection="1"/>
    <xf numFmtId="0" fontId="4" fillId="0" borderId="2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5" fillId="0" borderId="24" xfId="0" applyFont="1" applyBorder="1" applyAlignment="1" applyProtection="1">
      <alignment horizontal="right"/>
    </xf>
    <xf numFmtId="0" fontId="29" fillId="0" borderId="0" xfId="0" applyFont="1" applyBorder="1" applyAlignment="1" applyProtection="1"/>
    <xf numFmtId="164" fontId="25" fillId="0" borderId="0" xfId="0" applyNumberFormat="1" applyFont="1" applyBorder="1" applyAlignment="1" applyProtection="1">
      <alignment horizontal="right"/>
    </xf>
    <xf numFmtId="0" fontId="28" fillId="0" borderId="0" xfId="0" applyFont="1" applyBorder="1" applyAlignment="1" applyProtection="1"/>
    <xf numFmtId="164" fontId="6" fillId="0" borderId="0" xfId="0" applyNumberFormat="1" applyFont="1" applyBorder="1" applyAlignment="1" applyProtection="1"/>
    <xf numFmtId="9" fontId="1" fillId="0" borderId="32" xfId="11" applyNumberFormat="1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/>
    <xf numFmtId="0" fontId="24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169" fontId="1" fillId="0" borderId="32" xfId="11" applyNumberFormat="1" applyFont="1" applyBorder="1" applyAlignment="1" applyProtection="1">
      <alignment horizontal="left"/>
      <protection hidden="1"/>
    </xf>
    <xf numFmtId="0" fontId="26" fillId="0" borderId="24" xfId="0" applyFont="1" applyBorder="1" applyAlignment="1" applyProtection="1"/>
    <xf numFmtId="164" fontId="26" fillId="0" borderId="0" xfId="0" applyNumberFormat="1" applyFont="1" applyBorder="1" applyAlignment="1" applyProtection="1"/>
    <xf numFmtId="0" fontId="1" fillId="0" borderId="32" xfId="0" applyFont="1" applyBorder="1" applyAlignment="1" applyProtection="1"/>
    <xf numFmtId="9" fontId="1" fillId="0" borderId="0" xfId="11" applyNumberFormat="1" applyFont="1" applyBorder="1" applyAlignment="1" applyProtection="1">
      <alignment horizontal="left"/>
      <protection hidden="1"/>
    </xf>
    <xf numFmtId="49" fontId="20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/>
    <xf numFmtId="0" fontId="4" fillId="0" borderId="0" xfId="0" applyFont="1" applyBorder="1" applyAlignment="1" applyProtection="1"/>
    <xf numFmtId="172" fontId="30" fillId="0" borderId="0" xfId="11" applyNumberFormat="1" applyFont="1" applyBorder="1" applyAlignment="1" applyProtection="1">
      <alignment horizontal="left"/>
      <protection hidden="1"/>
    </xf>
    <xf numFmtId="9" fontId="1" fillId="0" borderId="0" xfId="11" applyNumberFormat="1" applyFont="1" applyBorder="1" applyAlignment="1" applyProtection="1">
      <alignment horizontal="right"/>
      <protection hidden="1"/>
    </xf>
    <xf numFmtId="0" fontId="30" fillId="0" borderId="32" xfId="0" applyFont="1" applyBorder="1" applyAlignment="1" applyProtection="1"/>
    <xf numFmtId="9" fontId="3" fillId="0" borderId="0" xfId="11" applyFont="1" applyBorder="1" applyAlignment="1" applyProtection="1">
      <alignment horizontal="left"/>
    </xf>
    <xf numFmtId="0" fontId="19" fillId="0" borderId="4" xfId="0" applyFont="1" applyBorder="1" applyAlignment="1" applyProtection="1"/>
    <xf numFmtId="0" fontId="2" fillId="0" borderId="6" xfId="0" applyFont="1" applyBorder="1" applyAlignment="1" applyProtection="1">
      <alignment horizontal="center"/>
    </xf>
    <xf numFmtId="164" fontId="20" fillId="0" borderId="28" xfId="0" applyNumberFormat="1" applyFont="1" applyBorder="1" applyAlignment="1" applyProtection="1">
      <alignment horizontal="center"/>
    </xf>
    <xf numFmtId="164" fontId="42" fillId="0" borderId="6" xfId="0" applyNumberFormat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right"/>
    </xf>
    <xf numFmtId="0" fontId="36" fillId="0" borderId="0" xfId="0" applyFont="1" applyBorder="1" applyAlignment="1">
      <alignment horizontal="right"/>
    </xf>
    <xf numFmtId="9" fontId="1" fillId="0" borderId="31" xfId="11" applyNumberFormat="1" applyFont="1" applyBorder="1" applyAlignment="1" applyProtection="1">
      <alignment horizontal="left"/>
      <protection hidden="1"/>
    </xf>
    <xf numFmtId="0" fontId="0" fillId="0" borderId="0" xfId="0" applyFill="1" applyBorder="1" applyAlignment="1"/>
    <xf numFmtId="0" fontId="39" fillId="0" borderId="0" xfId="0" applyFont="1" applyBorder="1" applyAlignment="1">
      <alignment horizontal="center"/>
    </xf>
    <xf numFmtId="0" fontId="0" fillId="0" borderId="32" xfId="0" applyBorder="1"/>
    <xf numFmtId="0" fontId="0" fillId="0" borderId="4" xfId="0" applyBorder="1"/>
    <xf numFmtId="0" fontId="0" fillId="0" borderId="31" xfId="0" applyBorder="1"/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37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64" fontId="28" fillId="0" borderId="6" xfId="0" applyNumberFormat="1" applyFont="1" applyBorder="1" applyAlignment="1" applyProtection="1">
      <protection locked="0"/>
    </xf>
    <xf numFmtId="0" fontId="3" fillId="10" borderId="8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49" fontId="20" fillId="0" borderId="24" xfId="0" applyNumberFormat="1" applyFont="1" applyFill="1" applyBorder="1" applyAlignment="1" applyProtection="1"/>
    <xf numFmtId="49" fontId="20" fillId="0" borderId="24" xfId="0" applyNumberFormat="1" applyFont="1" applyFill="1" applyBorder="1" applyAlignment="1" applyProtection="1">
      <alignment wrapText="1"/>
    </xf>
    <xf numFmtId="0" fontId="35" fillId="0" borderId="6" xfId="0" applyFont="1" applyBorder="1" applyAlignment="1" applyProtection="1">
      <alignment horizontal="center"/>
    </xf>
    <xf numFmtId="9" fontId="1" fillId="0" borderId="0" xfId="11" applyNumberFormat="1" applyFont="1" applyFill="1" applyBorder="1" applyAlignment="1" applyProtection="1">
      <alignment horizontal="right"/>
      <protection hidden="1"/>
    </xf>
    <xf numFmtId="9" fontId="30" fillId="0" borderId="32" xfId="11" applyNumberFormat="1" applyFont="1" applyFill="1" applyBorder="1" applyAlignment="1" applyProtection="1">
      <alignment horizontal="right"/>
      <protection hidden="1"/>
    </xf>
    <xf numFmtId="174" fontId="17" fillId="0" borderId="0" xfId="0" applyNumberFormat="1" applyFont="1" applyFill="1" applyBorder="1" applyAlignment="1"/>
    <xf numFmtId="0" fontId="40" fillId="0" borderId="0" xfId="0" applyFont="1" applyBorder="1" applyAlignment="1" applyProtection="1"/>
    <xf numFmtId="9" fontId="1" fillId="0" borderId="32" xfId="11" applyNumberFormat="1" applyFont="1" applyBorder="1" applyAlignment="1" applyProtection="1">
      <alignment horizontal="right"/>
      <protection hidden="1"/>
    </xf>
    <xf numFmtId="168" fontId="2" fillId="0" borderId="32" xfId="0" applyNumberFormat="1" applyFont="1" applyFill="1" applyBorder="1" applyAlignment="1" applyProtection="1">
      <protection hidden="1"/>
    </xf>
    <xf numFmtId="171" fontId="2" fillId="0" borderId="32" xfId="0" applyNumberFormat="1" applyFont="1" applyFill="1" applyBorder="1" applyAlignment="1" applyProtection="1">
      <protection hidden="1"/>
    </xf>
    <xf numFmtId="0" fontId="25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171" fontId="2" fillId="0" borderId="0" xfId="0" applyNumberFormat="1" applyFont="1" applyFill="1" applyBorder="1" applyAlignment="1" applyProtection="1">
      <protection hidden="1"/>
    </xf>
    <xf numFmtId="0" fontId="50" fillId="13" borderId="33" xfId="0" applyFont="1" applyFill="1" applyBorder="1" applyAlignment="1" applyProtection="1">
      <alignment horizontal="center"/>
      <protection locked="0"/>
    </xf>
    <xf numFmtId="0" fontId="50" fillId="13" borderId="34" xfId="0" applyFont="1" applyFill="1" applyBorder="1" applyAlignment="1" applyProtection="1">
      <alignment horizontal="center"/>
      <protection locked="0"/>
    </xf>
    <xf numFmtId="168" fontId="1" fillId="13" borderId="0" xfId="0" applyNumberFormat="1" applyFont="1" applyFill="1" applyBorder="1" applyAlignment="1" applyProtection="1">
      <protection locked="0"/>
    </xf>
    <xf numFmtId="168" fontId="1" fillId="13" borderId="5" xfId="0" applyNumberFormat="1" applyFont="1" applyFill="1" applyBorder="1" applyAlignment="1" applyProtection="1">
      <protection locked="0"/>
    </xf>
    <xf numFmtId="168" fontId="1" fillId="13" borderId="5" xfId="3" applyNumberFormat="1" applyFont="1" applyFill="1" applyBorder="1" applyAlignment="1" applyProtection="1">
      <protection locked="0"/>
    </xf>
    <xf numFmtId="168" fontId="1" fillId="13" borderId="5" xfId="3" applyNumberFormat="1" applyFont="1" applyFill="1" applyBorder="1" applyAlignment="1" applyProtection="1">
      <alignment horizontal="right"/>
      <protection locked="0"/>
    </xf>
    <xf numFmtId="168" fontId="50" fillId="12" borderId="6" xfId="0" applyNumberFormat="1" applyFont="1" applyFill="1" applyBorder="1" applyAlignment="1" applyProtection="1">
      <protection hidden="1"/>
    </xf>
    <xf numFmtId="171" fontId="52" fillId="5" borderId="6" xfId="11" applyNumberFormat="1" applyFont="1" applyFill="1" applyBorder="1" applyAlignment="1" applyProtection="1">
      <alignment horizontal="right"/>
      <protection hidden="1"/>
    </xf>
    <xf numFmtId="168" fontId="50" fillId="9" borderId="6" xfId="0" applyNumberFormat="1" applyFont="1" applyFill="1" applyBorder="1" applyAlignment="1" applyProtection="1">
      <protection hidden="1"/>
    </xf>
    <xf numFmtId="168" fontId="50" fillId="11" borderId="6" xfId="0" applyNumberFormat="1" applyFont="1" applyFill="1" applyBorder="1" applyAlignment="1" applyProtection="1">
      <protection hidden="1"/>
    </xf>
    <xf numFmtId="171" fontId="50" fillId="10" borderId="6" xfId="0" applyNumberFormat="1" applyFont="1" applyFill="1" applyBorder="1" applyAlignment="1" applyProtection="1">
      <protection hidden="1"/>
    </xf>
    <xf numFmtId="177" fontId="50" fillId="11" borderId="6" xfId="0" applyNumberFormat="1" applyFont="1" applyFill="1" applyBorder="1" applyAlignment="1" applyProtection="1">
      <protection hidden="1"/>
    </xf>
    <xf numFmtId="177" fontId="52" fillId="11" borderId="35" xfId="3" applyNumberFormat="1" applyFont="1" applyFill="1" applyBorder="1" applyAlignment="1" applyProtection="1">
      <alignment horizontal="right"/>
      <protection hidden="1"/>
    </xf>
    <xf numFmtId="168" fontId="50" fillId="8" borderId="35" xfId="3" applyNumberFormat="1" applyFont="1" applyFill="1" applyBorder="1" applyAlignment="1" applyProtection="1">
      <protection hidden="1"/>
    </xf>
    <xf numFmtId="168" fontId="51" fillId="12" borderId="6" xfId="0" applyNumberFormat="1" applyFont="1" applyFill="1" applyBorder="1" applyAlignment="1" applyProtection="1">
      <protection hidden="1"/>
    </xf>
    <xf numFmtId="168" fontId="51" fillId="9" borderId="6" xfId="0" applyNumberFormat="1" applyFont="1" applyFill="1" applyBorder="1" applyAlignment="1" applyProtection="1">
      <protection hidden="1"/>
    </xf>
    <xf numFmtId="168" fontId="51" fillId="8" borderId="6" xfId="0" applyNumberFormat="1" applyFont="1" applyFill="1" applyBorder="1" applyAlignment="1" applyProtection="1">
      <protection hidden="1"/>
    </xf>
    <xf numFmtId="174" fontId="51" fillId="9" borderId="6" xfId="0" applyNumberFormat="1" applyFont="1" applyFill="1" applyBorder="1" applyAlignment="1" applyProtection="1">
      <protection locked="0"/>
    </xf>
    <xf numFmtId="174" fontId="51" fillId="13" borderId="6" xfId="3" applyNumberFormat="1" applyFont="1" applyFill="1" applyBorder="1" applyAlignment="1" applyProtection="1">
      <alignment horizontal="right"/>
      <protection locked="0"/>
    </xf>
    <xf numFmtId="177" fontId="54" fillId="10" borderId="6" xfId="0" applyNumberFormat="1" applyFont="1" applyFill="1" applyBorder="1" applyAlignment="1" applyProtection="1">
      <protection hidden="1"/>
    </xf>
    <xf numFmtId="168" fontId="50" fillId="0" borderId="0" xfId="0" applyNumberFormat="1" applyFont="1" applyFill="1" applyBorder="1" applyAlignment="1" applyProtection="1">
      <protection hidden="1"/>
    </xf>
    <xf numFmtId="164" fontId="3" fillId="0" borderId="0" xfId="0" applyNumberFormat="1" applyFont="1" applyFill="1" applyBorder="1" applyAlignment="1" applyProtection="1">
      <protection locked="0"/>
    </xf>
    <xf numFmtId="168" fontId="51" fillId="12" borderId="28" xfId="0" applyNumberFormat="1" applyFont="1" applyFill="1" applyBorder="1" applyAlignment="1" applyProtection="1">
      <protection hidden="1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vertical="justify"/>
      <protection locked="0"/>
    </xf>
    <xf numFmtId="168" fontId="1" fillId="13" borderId="5" xfId="3" applyNumberFormat="1" applyFont="1" applyFill="1" applyBorder="1" applyAlignment="1" applyProtection="1">
      <alignment vertical="justify"/>
      <protection locked="0"/>
    </xf>
    <xf numFmtId="164" fontId="6" fillId="0" borderId="0" xfId="0" applyNumberFormat="1" applyFont="1" applyBorder="1" applyAlignment="1" applyProtection="1">
      <alignment horizontal="left" vertical="justify"/>
    </xf>
    <xf numFmtId="168" fontId="51" fillId="9" borderId="6" xfId="0" applyNumberFormat="1" applyFont="1" applyFill="1" applyBorder="1" applyAlignment="1" applyProtection="1">
      <alignment vertical="justify"/>
      <protection hidden="1"/>
    </xf>
    <xf numFmtId="49" fontId="20" fillId="0" borderId="32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justify"/>
      <protection locked="0"/>
    </xf>
    <xf numFmtId="168" fontId="1" fillId="13" borderId="5" xfId="0" applyNumberFormat="1" applyFont="1" applyFill="1" applyBorder="1" applyAlignment="1" applyProtection="1">
      <alignment vertical="justify"/>
      <protection locked="0"/>
    </xf>
    <xf numFmtId="168" fontId="51" fillId="12" borderId="6" xfId="0" applyNumberFormat="1" applyFont="1" applyFill="1" applyBorder="1" applyAlignment="1" applyProtection="1">
      <alignment vertical="justify"/>
      <protection hidden="1"/>
    </xf>
    <xf numFmtId="0" fontId="4" fillId="0" borderId="24" xfId="0" applyFont="1" applyBorder="1" applyAlignment="1" applyProtection="1">
      <alignment vertical="justify"/>
      <protection locked="0"/>
    </xf>
    <xf numFmtId="49" fontId="20" fillId="0" borderId="24" xfId="0" applyNumberFormat="1" applyFont="1" applyFill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8" fontId="1" fillId="13" borderId="5" xfId="0" applyNumberFormat="1" applyFont="1" applyFill="1" applyBorder="1" applyAlignment="1" applyProtection="1">
      <alignment vertical="center"/>
      <protection locked="0"/>
    </xf>
    <xf numFmtId="164" fontId="28" fillId="0" borderId="6" xfId="0" applyNumberFormat="1" applyFont="1" applyBorder="1" applyAlignment="1" applyProtection="1">
      <alignment vertical="center"/>
      <protection locked="0"/>
    </xf>
    <xf numFmtId="174" fontId="51" fillId="9" borderId="6" xfId="0" applyNumberFormat="1" applyFont="1" applyFill="1" applyBorder="1" applyAlignment="1" applyProtection="1">
      <alignment vertical="center"/>
      <protection locked="0"/>
    </xf>
    <xf numFmtId="174" fontId="51" fillId="13" borderId="6" xfId="3" applyNumberFormat="1" applyFont="1" applyFill="1" applyBorder="1" applyAlignment="1" applyProtection="1">
      <alignment horizontal="right" vertical="center"/>
      <protection locked="0"/>
    </xf>
    <xf numFmtId="177" fontId="51" fillId="12" borderId="35" xfId="0" applyNumberFormat="1" applyFont="1" applyFill="1" applyBorder="1" applyAlignment="1" applyProtection="1">
      <alignment vertical="justify"/>
      <protection hidden="1"/>
    </xf>
    <xf numFmtId="177" fontId="51" fillId="12" borderId="27" xfId="0" applyNumberFormat="1" applyFont="1" applyFill="1" applyBorder="1" applyAlignment="1" applyProtection="1">
      <alignment vertical="justify"/>
      <protection hidden="1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0" fillId="0" borderId="0" xfId="0" applyFont="1" applyBorder="1" applyAlignment="1">
      <alignment horizontal="right"/>
    </xf>
    <xf numFmtId="0" fontId="6" fillId="0" borderId="26" xfId="0" applyFont="1" applyBorder="1" applyAlignment="1" applyProtection="1">
      <alignment horizontal="center"/>
    </xf>
    <xf numFmtId="0" fontId="3" fillId="0" borderId="25" xfId="0" applyFont="1" applyBorder="1" applyAlignment="1">
      <alignment horizontal="center"/>
    </xf>
    <xf numFmtId="0" fontId="55" fillId="0" borderId="30" xfId="0" applyFont="1" applyBorder="1" applyAlignment="1" applyProtection="1"/>
    <xf numFmtId="0" fontId="55" fillId="0" borderId="4" xfId="0" applyFont="1" applyBorder="1" applyAlignment="1"/>
    <xf numFmtId="0" fontId="0" fillId="0" borderId="4" xfId="0" applyBorder="1" applyAlignment="1"/>
    <xf numFmtId="0" fontId="53" fillId="9" borderId="36" xfId="0" applyFont="1" applyFill="1" applyBorder="1" applyAlignment="1" applyProtection="1">
      <alignment horizontal="right"/>
    </xf>
    <xf numFmtId="0" fontId="46" fillId="9" borderId="37" xfId="0" applyFont="1" applyFill="1" applyBorder="1" applyAlignment="1" applyProtection="1">
      <alignment horizontal="right"/>
    </xf>
    <xf numFmtId="0" fontId="46" fillId="9" borderId="35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53" fillId="8" borderId="36" xfId="0" applyFont="1" applyFill="1" applyBorder="1" applyAlignment="1" applyProtection="1">
      <alignment horizontal="right"/>
    </xf>
    <xf numFmtId="0" fontId="46" fillId="8" borderId="37" xfId="0" applyFont="1" applyFill="1" applyBorder="1" applyAlignment="1" applyProtection="1">
      <alignment horizontal="right"/>
    </xf>
    <xf numFmtId="0" fontId="46" fillId="8" borderId="35" xfId="0" applyFont="1" applyFill="1" applyBorder="1" applyAlignment="1" applyProtection="1">
      <alignment horizontal="right"/>
    </xf>
    <xf numFmtId="0" fontId="41" fillId="0" borderId="0" xfId="0" applyFont="1" applyBorder="1" applyAlignment="1" applyProtection="1">
      <alignment horizontal="right"/>
    </xf>
    <xf numFmtId="0" fontId="41" fillId="0" borderId="32" xfId="0" applyFont="1" applyBorder="1" applyAlignment="1" applyProtection="1">
      <alignment horizontal="right"/>
    </xf>
    <xf numFmtId="0" fontId="3" fillId="13" borderId="36" xfId="0" applyFont="1" applyFill="1" applyBorder="1" applyAlignment="1" applyProtection="1">
      <alignment horizontal="center"/>
      <protection locked="0"/>
    </xf>
    <xf numFmtId="0" fontId="3" fillId="13" borderId="37" xfId="0" applyFont="1" applyFill="1" applyBorder="1" applyAlignment="1" applyProtection="1">
      <alignment horizontal="center"/>
      <protection locked="0"/>
    </xf>
    <xf numFmtId="0" fontId="3" fillId="13" borderId="35" xfId="0" applyFont="1" applyFill="1" applyBorder="1" applyAlignment="1" applyProtection="1">
      <alignment horizontal="center"/>
      <protection locked="0"/>
    </xf>
    <xf numFmtId="0" fontId="37" fillId="12" borderId="36" xfId="0" applyFont="1" applyFill="1" applyBorder="1" applyAlignment="1" applyProtection="1">
      <alignment horizontal="left"/>
      <protection locked="0"/>
    </xf>
    <xf numFmtId="0" fontId="38" fillId="12" borderId="37" xfId="0" applyFont="1" applyFill="1" applyBorder="1" applyAlignment="1" applyProtection="1">
      <alignment horizontal="left"/>
      <protection locked="0"/>
    </xf>
    <xf numFmtId="0" fontId="38" fillId="12" borderId="35" xfId="0" applyFont="1" applyFill="1" applyBorder="1" applyAlignment="1" applyProtection="1">
      <alignment horizontal="left"/>
      <protection locked="0"/>
    </xf>
    <xf numFmtId="0" fontId="39" fillId="10" borderId="36" xfId="0" applyFont="1" applyFill="1" applyBorder="1" applyAlignment="1" applyProtection="1">
      <alignment horizontal="center"/>
    </xf>
    <xf numFmtId="0" fontId="38" fillId="10" borderId="37" xfId="0" applyFont="1" applyFill="1" applyBorder="1" applyAlignment="1" applyProtection="1"/>
    <xf numFmtId="0" fontId="38" fillId="10" borderId="35" xfId="0" applyFont="1" applyFill="1" applyBorder="1" applyAlignment="1" applyProtection="1"/>
    <xf numFmtId="170" fontId="35" fillId="10" borderId="38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0" fillId="12" borderId="26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2" fillId="13" borderId="38" xfId="0" applyFont="1" applyFill="1" applyBorder="1" applyAlignment="1" applyProtection="1">
      <alignment horizontal="center"/>
      <protection locked="0"/>
    </xf>
    <xf numFmtId="0" fontId="51" fillId="0" borderId="33" xfId="0" applyFont="1" applyBorder="1" applyAlignment="1" applyProtection="1">
      <alignment horizontal="center"/>
      <protection locked="0"/>
    </xf>
    <xf numFmtId="0" fontId="20" fillId="12" borderId="40" xfId="0" applyFont="1" applyFill="1" applyBorder="1" applyAlignment="1">
      <alignment horizontal="center"/>
    </xf>
    <xf numFmtId="0" fontId="34" fillId="10" borderId="38" xfId="0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37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49" fontId="49" fillId="0" borderId="47" xfId="0" applyNumberFormat="1" applyFont="1" applyBorder="1" applyAlignment="1" applyProtection="1">
      <alignment horizontal="center"/>
      <protection locked="0"/>
    </xf>
    <xf numFmtId="0" fontId="49" fillId="0" borderId="10" xfId="0" applyFont="1" applyBorder="1" applyAlignment="1">
      <alignment horizontal="center"/>
    </xf>
    <xf numFmtId="0" fontId="43" fillId="0" borderId="44" xfId="0" applyFont="1" applyFill="1" applyBorder="1" applyAlignment="1" applyProtection="1">
      <alignment horizontal="center"/>
      <protection locked="0"/>
    </xf>
    <xf numFmtId="0" fontId="43" fillId="0" borderId="45" xfId="0" applyFont="1" applyFill="1" applyBorder="1" applyAlignment="1" applyProtection="1">
      <alignment horizontal="center"/>
      <protection locked="0"/>
    </xf>
    <xf numFmtId="0" fontId="43" fillId="0" borderId="4" xfId="0" applyFont="1" applyBorder="1" applyAlignment="1"/>
    <xf numFmtId="0" fontId="43" fillId="0" borderId="63" xfId="0" applyFont="1" applyBorder="1" applyAlignment="1"/>
    <xf numFmtId="0" fontId="43" fillId="0" borderId="42" xfId="0" applyFont="1" applyBorder="1" applyAlignment="1"/>
    <xf numFmtId="0" fontId="43" fillId="0" borderId="43" xfId="0" applyFont="1" applyBorder="1" applyAlignment="1"/>
    <xf numFmtId="0" fontId="46" fillId="0" borderId="46" xfId="0" applyFont="1" applyBorder="1" applyAlignment="1" applyProtection="1">
      <alignment horizontal="center"/>
      <protection locked="0"/>
    </xf>
    <xf numFmtId="0" fontId="46" fillId="0" borderId="10" xfId="0" applyFont="1" applyBorder="1" applyAlignment="1" applyProtection="1">
      <alignment horizontal="center"/>
      <protection locked="0"/>
    </xf>
    <xf numFmtId="10" fontId="45" fillId="0" borderId="2" xfId="0" applyNumberFormat="1" applyFont="1" applyBorder="1" applyAlignment="1" applyProtection="1">
      <alignment horizontal="center"/>
      <protection locked="0"/>
    </xf>
    <xf numFmtId="10" fontId="45" fillId="0" borderId="49" xfId="0" applyNumberFormat="1" applyFont="1" applyBorder="1" applyAlignment="1" applyProtection="1">
      <alignment horizontal="center"/>
      <protection locked="0"/>
    </xf>
    <xf numFmtId="0" fontId="43" fillId="0" borderId="44" xfId="0" applyFont="1" applyFill="1" applyBorder="1" applyAlignment="1" applyProtection="1">
      <alignment horizontal="center"/>
      <protection locked="0" hidden="1"/>
    </xf>
    <xf numFmtId="0" fontId="43" fillId="0" borderId="44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178" fontId="40" fillId="12" borderId="46" xfId="0" applyNumberFormat="1" applyFont="1" applyFill="1" applyBorder="1" applyAlignment="1" applyProtection="1">
      <protection hidden="1"/>
    </xf>
    <xf numFmtId="178" fontId="3" fillId="12" borderId="10" xfId="0" applyNumberFormat="1" applyFont="1" applyFill="1" applyBorder="1" applyAlignment="1" applyProtection="1">
      <protection hidden="1"/>
    </xf>
    <xf numFmtId="0" fontId="50" fillId="0" borderId="61" xfId="0" applyFont="1" applyFill="1" applyBorder="1" applyAlignment="1">
      <alignment horizontal="left"/>
    </xf>
    <xf numFmtId="0" fontId="51" fillId="0" borderId="62" xfId="0" applyFont="1" applyBorder="1" applyAlignment="1">
      <alignment horizontal="left"/>
    </xf>
    <xf numFmtId="0" fontId="50" fillId="0" borderId="62" xfId="0" applyFont="1" applyFill="1" applyBorder="1" applyAlignment="1">
      <alignment horizontal="left"/>
    </xf>
    <xf numFmtId="177" fontId="45" fillId="0" borderId="47" xfId="0" applyNumberFormat="1" applyFont="1" applyBorder="1" applyAlignment="1" applyProtection="1">
      <protection locked="0"/>
    </xf>
    <xf numFmtId="177" fontId="45" fillId="0" borderId="46" xfId="0" applyNumberFormat="1" applyFont="1" applyBorder="1" applyAlignment="1" applyProtection="1">
      <protection locked="0"/>
    </xf>
    <xf numFmtId="174" fontId="45" fillId="0" borderId="47" xfId="0" applyNumberFormat="1" applyFont="1" applyBorder="1" applyAlignment="1" applyProtection="1">
      <protection locked="0"/>
    </xf>
    <xf numFmtId="174" fontId="45" fillId="0" borderId="46" xfId="0" applyNumberFormat="1" applyFont="1" applyBorder="1" applyAlignment="1" applyProtection="1">
      <protection locked="0"/>
    </xf>
    <xf numFmtId="174" fontId="45" fillId="0" borderId="10" xfId="0" applyNumberFormat="1" applyFont="1" applyBorder="1" applyAlignment="1" applyProtection="1">
      <protection locked="0"/>
    </xf>
    <xf numFmtId="176" fontId="43" fillId="0" borderId="44" xfId="0" applyNumberFormat="1" applyFont="1" applyFill="1" applyBorder="1" applyAlignment="1" applyProtection="1">
      <alignment horizontal="center"/>
      <protection hidden="1"/>
    </xf>
    <xf numFmtId="176" fontId="43" fillId="0" borderId="45" xfId="0" applyNumberFormat="1" applyFont="1" applyFill="1" applyBorder="1" applyAlignment="1" applyProtection="1">
      <alignment horizontal="center"/>
      <protection hidden="1"/>
    </xf>
    <xf numFmtId="176" fontId="43" fillId="0" borderId="44" xfId="0" applyNumberFormat="1" applyFont="1" applyFill="1" applyBorder="1" applyAlignment="1" applyProtection="1">
      <alignment horizontal="center"/>
      <protection locked="0"/>
    </xf>
    <xf numFmtId="176" fontId="43" fillId="0" borderId="45" xfId="0" applyNumberFormat="1" applyFont="1" applyFill="1" applyBorder="1" applyAlignment="1" applyProtection="1">
      <alignment horizontal="center"/>
      <protection locked="0"/>
    </xf>
    <xf numFmtId="0" fontId="17" fillId="10" borderId="36" xfId="0" applyFont="1" applyFill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175" fontId="45" fillId="11" borderId="36" xfId="0" applyNumberFormat="1" applyFont="1" applyFill="1" applyBorder="1" applyAlignment="1" applyProtection="1">
      <alignment horizontal="center"/>
      <protection hidden="1"/>
    </xf>
    <xf numFmtId="175" fontId="45" fillId="11" borderId="37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0" fillId="0" borderId="55" xfId="0" applyBorder="1" applyAlignment="1">
      <alignment horizontal="center"/>
    </xf>
    <xf numFmtId="177" fontId="40" fillId="11" borderId="0" xfId="0" applyNumberFormat="1" applyFont="1" applyFill="1" applyBorder="1" applyAlignment="1" applyProtection="1">
      <protection hidden="1"/>
    </xf>
    <xf numFmtId="177" fontId="40" fillId="11" borderId="42" xfId="0" applyNumberFormat="1" applyFont="1" applyFill="1" applyBorder="1" applyAlignment="1" applyProtection="1">
      <protection hidden="1"/>
    </xf>
    <xf numFmtId="178" fontId="40" fillId="12" borderId="47" xfId="0" applyNumberFormat="1" applyFont="1" applyFill="1" applyBorder="1" applyAlignment="1" applyProtection="1">
      <protection hidden="1"/>
    </xf>
    <xf numFmtId="178" fontId="3" fillId="12" borderId="51" xfId="0" applyNumberFormat="1" applyFont="1" applyFill="1" applyBorder="1" applyAlignment="1" applyProtection="1">
      <protection hidden="1"/>
    </xf>
    <xf numFmtId="177" fontId="47" fillId="9" borderId="46" xfId="0" applyNumberFormat="1" applyFont="1" applyFill="1" applyBorder="1" applyAlignment="1" applyProtection="1">
      <protection hidden="1"/>
    </xf>
    <xf numFmtId="177" fontId="47" fillId="9" borderId="10" xfId="0" applyNumberFormat="1" applyFont="1" applyFill="1" applyBorder="1" applyAlignment="1" applyProtection="1">
      <protection hidden="1"/>
    </xf>
    <xf numFmtId="174" fontId="45" fillId="0" borderId="51" xfId="0" applyNumberFormat="1" applyFont="1" applyBorder="1" applyAlignment="1" applyProtection="1">
      <protection locked="0"/>
    </xf>
    <xf numFmtId="0" fontId="40" fillId="0" borderId="30" xfId="0" applyFont="1" applyFill="1" applyBorder="1" applyAlignment="1" applyProtection="1">
      <alignment horizontal="left"/>
      <protection locked="0"/>
    </xf>
    <xf numFmtId="0" fontId="40" fillId="0" borderId="4" xfId="0" applyFont="1" applyBorder="1" applyAlignment="1" applyProtection="1">
      <protection locked="0"/>
    </xf>
    <xf numFmtId="0" fontId="40" fillId="0" borderId="31" xfId="0" applyFont="1" applyBorder="1" applyAlignment="1" applyProtection="1">
      <protection locked="0"/>
    </xf>
    <xf numFmtId="0" fontId="17" fillId="11" borderId="36" xfId="0" applyFont="1" applyFill="1" applyBorder="1" applyAlignment="1" applyProtection="1">
      <alignment horizontal="center"/>
    </xf>
    <xf numFmtId="0" fontId="17" fillId="11" borderId="35" xfId="0" applyFont="1" applyFill="1" applyBorder="1" applyAlignment="1" applyProtection="1">
      <alignment horizontal="center"/>
    </xf>
    <xf numFmtId="0" fontId="40" fillId="0" borderId="57" xfId="0" applyFont="1" applyFill="1" applyBorder="1" applyAlignment="1" applyProtection="1">
      <alignment horizontal="left"/>
      <protection locked="0"/>
    </xf>
    <xf numFmtId="0" fontId="40" fillId="0" borderId="5" xfId="0" applyFont="1" applyBorder="1" applyAlignment="1" applyProtection="1">
      <protection locked="0"/>
    </xf>
    <xf numFmtId="0" fontId="40" fillId="0" borderId="58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10" fontId="45" fillId="0" borderId="47" xfId="0" applyNumberFormat="1" applyFont="1" applyBorder="1" applyAlignment="1" applyProtection="1">
      <alignment horizontal="center"/>
      <protection locked="0"/>
    </xf>
    <xf numFmtId="10" fontId="45" fillId="0" borderId="51" xfId="0" applyNumberFormat="1" applyFont="1" applyBorder="1" applyAlignment="1" applyProtection="1">
      <alignment horizontal="center"/>
      <protection locked="0"/>
    </xf>
    <xf numFmtId="174" fontId="17" fillId="9" borderId="28" xfId="0" applyNumberFormat="1" applyFont="1" applyFill="1" applyBorder="1" applyAlignment="1" applyProtection="1">
      <protection hidden="1"/>
    </xf>
    <xf numFmtId="174" fontId="17" fillId="9" borderId="29" xfId="0" applyNumberFormat="1" applyFont="1" applyFill="1" applyBorder="1" applyAlignment="1" applyProtection="1">
      <protection hidden="1"/>
    </xf>
    <xf numFmtId="0" fontId="0" fillId="0" borderId="26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40" fillId="0" borderId="59" xfId="0" applyFont="1" applyFill="1" applyBorder="1" applyAlignment="1" applyProtection="1">
      <alignment horizontal="left"/>
    </xf>
    <xf numFmtId="0" fontId="40" fillId="0" borderId="42" xfId="0" applyFont="1" applyBorder="1" applyAlignment="1" applyProtection="1"/>
    <xf numFmtId="0" fontId="40" fillId="0" borderId="60" xfId="0" applyFont="1" applyBorder="1" applyAlignment="1" applyProtection="1"/>
    <xf numFmtId="0" fontId="40" fillId="0" borderId="39" xfId="0" applyFont="1" applyBorder="1" applyAlignment="1" applyProtection="1"/>
    <xf numFmtId="174" fontId="17" fillId="9" borderId="46" xfId="0" applyNumberFormat="1" applyFont="1" applyFill="1" applyBorder="1" applyAlignment="1" applyProtection="1">
      <protection locked="0"/>
    </xf>
    <xf numFmtId="174" fontId="17" fillId="9" borderId="10" xfId="0" applyNumberFormat="1" applyFont="1" applyFill="1" applyBorder="1" applyAlignment="1" applyProtection="1">
      <protection locked="0"/>
    </xf>
    <xf numFmtId="177" fontId="40" fillId="11" borderId="44" xfId="0" applyNumberFormat="1" applyFont="1" applyFill="1" applyBorder="1" applyAlignment="1" applyProtection="1">
      <protection hidden="1"/>
    </xf>
    <xf numFmtId="0" fontId="51" fillId="0" borderId="29" xfId="0" applyFont="1" applyBorder="1" applyAlignment="1">
      <alignment horizontal="left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2" fillId="10" borderId="26" xfId="0" applyFont="1" applyFill="1" applyBorder="1" applyAlignment="1">
      <alignment horizontal="center"/>
    </xf>
    <xf numFmtId="0" fontId="17" fillId="10" borderId="30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6" fontId="40" fillId="11" borderId="36" xfId="0" applyNumberFormat="1" applyFont="1" applyFill="1" applyBorder="1" applyAlignment="1" applyProtection="1">
      <alignment horizontal="center"/>
    </xf>
    <xf numFmtId="176" fontId="0" fillId="0" borderId="37" xfId="0" applyNumberFormat="1" applyBorder="1" applyAlignment="1" applyProtection="1"/>
    <xf numFmtId="176" fontId="0" fillId="0" borderId="35" xfId="0" applyNumberFormat="1" applyBorder="1" applyAlignment="1" applyProtection="1"/>
    <xf numFmtId="17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4" fillId="10" borderId="36" xfId="0" applyFont="1" applyFill="1" applyBorder="1" applyAlignment="1">
      <alignment horizontal="center"/>
    </xf>
    <xf numFmtId="0" fontId="44" fillId="10" borderId="37" xfId="0" applyFont="1" applyFill="1" applyBorder="1" applyAlignment="1">
      <alignment horizontal="center"/>
    </xf>
    <xf numFmtId="0" fontId="44" fillId="10" borderId="35" xfId="0" applyFont="1" applyFill="1" applyBorder="1" applyAlignment="1">
      <alignment horizontal="center"/>
    </xf>
    <xf numFmtId="0" fontId="50" fillId="0" borderId="28" xfId="0" applyFont="1" applyFill="1" applyBorder="1" applyAlignment="1">
      <alignment horizontal="left"/>
    </xf>
    <xf numFmtId="0" fontId="43" fillId="10" borderId="26" xfId="0" applyFont="1" applyFill="1" applyBorder="1" applyAlignment="1">
      <alignment horizontal="center"/>
    </xf>
    <xf numFmtId="0" fontId="43" fillId="10" borderId="25" xfId="0" applyFont="1" applyFill="1" applyBorder="1" applyAlignment="1">
      <alignment horizontal="center"/>
    </xf>
    <xf numFmtId="0" fontId="43" fillId="10" borderId="27" xfId="0" applyFont="1" applyFill="1" applyBorder="1" applyAlignment="1">
      <alignment horizontal="center"/>
    </xf>
    <xf numFmtId="0" fontId="43" fillId="10" borderId="30" xfId="0" applyFont="1" applyFill="1" applyBorder="1" applyAlignment="1">
      <alignment horizontal="center"/>
    </xf>
    <xf numFmtId="0" fontId="43" fillId="10" borderId="4" xfId="0" applyFont="1" applyFill="1" applyBorder="1" applyAlignment="1">
      <alignment horizontal="center"/>
    </xf>
    <xf numFmtId="0" fontId="43" fillId="10" borderId="31" xfId="0" applyFont="1" applyFill="1" applyBorder="1" applyAlignment="1">
      <alignment horizontal="center"/>
    </xf>
    <xf numFmtId="177" fontId="45" fillId="0" borderId="53" xfId="0" applyNumberFormat="1" applyFont="1" applyBorder="1" applyAlignment="1" applyProtection="1">
      <protection hidden="1"/>
    </xf>
    <xf numFmtId="177" fontId="0" fillId="0" borderId="10" xfId="0" applyNumberFormat="1" applyBorder="1" applyAlignment="1"/>
    <xf numFmtId="177" fontId="45" fillId="0" borderId="47" xfId="0" applyNumberFormat="1" applyFont="1" applyBorder="1" applyAlignment="1" applyProtection="1">
      <protection hidden="1"/>
    </xf>
    <xf numFmtId="177" fontId="45" fillId="0" borderId="10" xfId="0" applyNumberFormat="1" applyFont="1" applyBorder="1" applyAlignment="1" applyProtection="1">
      <protection hidden="1"/>
    </xf>
    <xf numFmtId="10" fontId="45" fillId="0" borderId="46" xfId="0" applyNumberFormat="1" applyFont="1" applyBorder="1" applyAlignment="1" applyProtection="1">
      <alignment horizontal="center"/>
      <protection locked="0"/>
    </xf>
    <xf numFmtId="10" fontId="45" fillId="0" borderId="10" xfId="0" applyNumberFormat="1" applyFont="1" applyBorder="1" applyAlignment="1" applyProtection="1">
      <alignment horizontal="center"/>
      <protection locked="0"/>
    </xf>
    <xf numFmtId="174" fontId="45" fillId="0" borderId="52" xfId="0" applyNumberFormat="1" applyFont="1" applyBorder="1" applyAlignment="1" applyProtection="1">
      <protection locked="0"/>
    </xf>
    <xf numFmtId="174" fontId="45" fillId="0" borderId="43" xfId="0" applyNumberFormat="1" applyFont="1" applyBorder="1" applyAlignment="1" applyProtection="1">
      <protection locked="0"/>
    </xf>
    <xf numFmtId="49" fontId="49" fillId="0" borderId="53" xfId="0" applyNumberFormat="1" applyFont="1" applyBorder="1" applyAlignment="1" applyProtection="1">
      <alignment horizontal="center"/>
      <protection locked="0"/>
    </xf>
    <xf numFmtId="0" fontId="49" fillId="0" borderId="46" xfId="0" applyFont="1" applyBorder="1" applyAlignment="1">
      <alignment horizontal="center"/>
    </xf>
    <xf numFmtId="10" fontId="45" fillId="0" borderId="48" xfId="0" applyNumberFormat="1" applyFont="1" applyBorder="1" applyAlignment="1" applyProtection="1">
      <alignment horizontal="center"/>
      <protection locked="0"/>
    </xf>
    <xf numFmtId="174" fontId="45" fillId="0" borderId="45" xfId="0" applyNumberFormat="1" applyFont="1" applyBorder="1" applyAlignment="1" applyProtection="1">
      <protection locked="0"/>
    </xf>
    <xf numFmtId="0" fontId="46" fillId="0" borderId="47" xfId="0" applyFont="1" applyBorder="1" applyAlignment="1" applyProtection="1">
      <alignment horizontal="center"/>
      <protection locked="0"/>
    </xf>
    <xf numFmtId="49" fontId="49" fillId="0" borderId="46" xfId="0" applyNumberFormat="1" applyFont="1" applyBorder="1" applyAlignment="1" applyProtection="1">
      <alignment horizontal="center"/>
      <protection locked="0"/>
    </xf>
    <xf numFmtId="174" fontId="17" fillId="9" borderId="47" xfId="0" applyNumberFormat="1" applyFont="1" applyFill="1" applyBorder="1" applyAlignment="1" applyProtection="1">
      <protection locked="0"/>
    </xf>
    <xf numFmtId="0" fontId="49" fillId="0" borderId="51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0" fillId="10" borderId="30" xfId="0" applyFill="1" applyBorder="1" applyAlignment="1"/>
    <xf numFmtId="0" fontId="0" fillId="10" borderId="4" xfId="0" applyFill="1" applyBorder="1" applyAlignment="1"/>
    <xf numFmtId="0" fontId="0" fillId="10" borderId="31" xfId="0" applyFill="1" applyBorder="1" applyAlignment="1"/>
    <xf numFmtId="0" fontId="0" fillId="0" borderId="24" xfId="0" applyBorder="1" applyAlignment="1"/>
    <xf numFmtId="0" fontId="0" fillId="0" borderId="32" xfId="0" applyBorder="1" applyAlignment="1"/>
    <xf numFmtId="174" fontId="17" fillId="9" borderId="50" xfId="0" applyNumberFormat="1" applyFont="1" applyFill="1" applyBorder="1" applyAlignment="1" applyProtection="1">
      <protection hidden="1"/>
    </xf>
    <xf numFmtId="0" fontId="48" fillId="11" borderId="26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171" fontId="17" fillId="12" borderId="28" xfId="0" applyNumberFormat="1" applyFont="1" applyFill="1" applyBorder="1" applyAlignment="1" applyProtection="1">
      <protection hidden="1"/>
    </xf>
    <xf numFmtId="171" fontId="17" fillId="12" borderId="29" xfId="0" applyNumberFormat="1" applyFont="1" applyFill="1" applyBorder="1" applyAlignment="1" applyProtection="1">
      <protection hidden="1"/>
    </xf>
    <xf numFmtId="0" fontId="17" fillId="10" borderId="26" xfId="0" applyFont="1" applyFill="1" applyBorder="1" applyAlignment="1">
      <alignment horizontal="center"/>
    </xf>
    <xf numFmtId="0" fontId="17" fillId="10" borderId="27" xfId="0" applyFont="1" applyFill="1" applyBorder="1" applyAlignment="1">
      <alignment horizontal="center"/>
    </xf>
    <xf numFmtId="0" fontId="40" fillId="10" borderId="30" xfId="0" applyFont="1" applyFill="1" applyBorder="1" applyAlignment="1">
      <alignment horizontal="center"/>
    </xf>
    <xf numFmtId="0" fontId="40" fillId="10" borderId="31" xfId="0" applyFont="1" applyFill="1" applyBorder="1" applyAlignment="1">
      <alignment horizontal="center"/>
    </xf>
    <xf numFmtId="171" fontId="17" fillId="9" borderId="27" xfId="0" applyNumberFormat="1" applyFont="1" applyFill="1" applyBorder="1" applyAlignment="1" applyProtection="1">
      <protection hidden="1"/>
    </xf>
    <xf numFmtId="171" fontId="17" fillId="9" borderId="31" xfId="0" applyNumberFormat="1" applyFont="1" applyFill="1" applyBorder="1" applyAlignment="1" applyProtection="1">
      <protection hidden="1"/>
    </xf>
    <xf numFmtId="171" fontId="17" fillId="9" borderId="28" xfId="0" applyNumberFormat="1" applyFont="1" applyFill="1" applyBorder="1" applyAlignment="1" applyProtection="1">
      <protection hidden="1"/>
    </xf>
    <xf numFmtId="171" fontId="17" fillId="9" borderId="29" xfId="0" applyNumberFormat="1" applyFont="1" applyFill="1" applyBorder="1" applyAlignment="1" applyProtection="1">
      <protection hidden="1"/>
    </xf>
    <xf numFmtId="177" fontId="40" fillId="11" borderId="4" xfId="0" applyNumberFormat="1" applyFont="1" applyFill="1" applyBorder="1" applyAlignment="1" applyProtection="1">
      <protection hidden="1"/>
    </xf>
    <xf numFmtId="0" fontId="0" fillId="0" borderId="0" xfId="0" applyBorder="1" applyAlignment="1"/>
    <xf numFmtId="0" fontId="16" fillId="10" borderId="50" xfId="0" applyFont="1" applyFill="1" applyBorder="1" applyAlignment="1">
      <alignment horizontal="right"/>
    </xf>
    <xf numFmtId="0" fontId="16" fillId="10" borderId="29" xfId="0" applyFont="1" applyFill="1" applyBorder="1" applyAlignment="1"/>
    <xf numFmtId="174" fontId="17" fillId="9" borderId="51" xfId="0" applyNumberFormat="1" applyFont="1" applyFill="1" applyBorder="1" applyAlignment="1" applyProtection="1">
      <protection locked="0"/>
    </xf>
    <xf numFmtId="0" fontId="46" fillId="0" borderId="51" xfId="0" applyFont="1" applyBorder="1" applyAlignment="1" applyProtection="1">
      <alignment horizontal="center"/>
      <protection locked="0"/>
    </xf>
    <xf numFmtId="177" fontId="40" fillId="11" borderId="48" xfId="0" applyNumberFormat="1" applyFont="1" applyFill="1" applyBorder="1" applyAlignment="1" applyProtection="1">
      <protection hidden="1"/>
    </xf>
    <xf numFmtId="177" fontId="40" fillId="11" borderId="49" xfId="0" applyNumberFormat="1" applyFont="1" applyFill="1" applyBorder="1" applyAlignment="1" applyProtection="1">
      <protection hidden="1"/>
    </xf>
    <xf numFmtId="0" fontId="19" fillId="0" borderId="30" xfId="0" applyFont="1" applyBorder="1" applyAlignment="1"/>
    <xf numFmtId="0" fontId="19" fillId="0" borderId="4" xfId="0" applyFont="1" applyBorder="1" applyAlignment="1"/>
    <xf numFmtId="176" fontId="43" fillId="0" borderId="25" xfId="0" applyNumberFormat="1" applyFont="1" applyFill="1" applyBorder="1" applyAlignment="1" applyProtection="1">
      <alignment horizontal="center"/>
      <protection hidden="1"/>
    </xf>
    <xf numFmtId="176" fontId="43" fillId="0" borderId="41" xfId="0" applyNumberFormat="1" applyFont="1" applyFill="1" applyBorder="1" applyAlignment="1" applyProtection="1">
      <alignment horizontal="center"/>
      <protection hidden="1"/>
    </xf>
    <xf numFmtId="0" fontId="43" fillId="0" borderId="44" xfId="0" applyFont="1" applyFill="1" applyBorder="1" applyAlignment="1" applyProtection="1">
      <protection locked="0"/>
    </xf>
    <xf numFmtId="0" fontId="43" fillId="0" borderId="45" xfId="0" applyFont="1" applyFill="1" applyBorder="1" applyAlignment="1" applyProtection="1">
      <protection locked="0"/>
    </xf>
    <xf numFmtId="0" fontId="17" fillId="10" borderId="64" xfId="0" applyFont="1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17" fillId="10" borderId="64" xfId="0" applyFont="1" applyFill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66" xfId="0" applyFont="1" applyBorder="1" applyAlignment="1">
      <alignment horizontal="center"/>
    </xf>
  </cellXfs>
  <cellStyles count="15">
    <cellStyle name="amount" xfId="1"/>
    <cellStyle name="Body text" xfId="2"/>
    <cellStyle name="Currency" xfId="3" builtinId="4"/>
    <cellStyle name="header" xfId="4"/>
    <cellStyle name="Header Total" xfId="5"/>
    <cellStyle name="Header1" xfId="6"/>
    <cellStyle name="Header2" xfId="7"/>
    <cellStyle name="Header3" xfId="8"/>
    <cellStyle name="NonPrint_copyright" xfId="9"/>
    <cellStyle name="Normal" xfId="0" builtinId="0"/>
    <cellStyle name="Normal 2" xfId="10"/>
    <cellStyle name="Percent" xfId="11" builtinId="5"/>
    <cellStyle name="Product Title" xfId="12"/>
    <cellStyle name="Text" xfId="13"/>
    <cellStyle name="Title" xfId="14" builtinId="15" customBuiltin="1"/>
  </cellStyles>
  <dxfs count="10"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91"/>
  <sheetViews>
    <sheetView tabSelected="1" workbookViewId="0">
      <selection activeCell="E6" sqref="E6"/>
    </sheetView>
  </sheetViews>
  <sheetFormatPr defaultRowHeight="11.25"/>
  <cols>
    <col min="1" max="1" width="25.7109375" style="10" customWidth="1"/>
    <col min="2" max="2" width="8.7109375" style="10" customWidth="1"/>
    <col min="3" max="3" width="8.85546875" style="10" customWidth="1"/>
    <col min="4" max="4" width="10.7109375" style="10" customWidth="1"/>
    <col min="5" max="5" width="7.7109375" style="10" customWidth="1"/>
    <col min="6" max="6" width="25.7109375" style="10" customWidth="1"/>
    <col min="7" max="8" width="10.7109375" style="10" customWidth="1"/>
    <col min="9" max="9" width="11.28515625" style="10" customWidth="1"/>
    <col min="10" max="10" width="10.85546875" style="10" customWidth="1"/>
    <col min="11" max="16384" width="9.140625" style="10"/>
  </cols>
  <sheetData>
    <row r="1" spans="1:11" ht="25.5" thickBot="1">
      <c r="A1" s="261"/>
      <c r="B1" s="262"/>
      <c r="C1" s="262"/>
      <c r="D1" s="262"/>
      <c r="E1" s="262"/>
      <c r="F1" s="262"/>
      <c r="G1" s="262"/>
      <c r="H1" s="262"/>
      <c r="I1" s="262"/>
      <c r="J1" s="263"/>
    </row>
    <row r="2" spans="1:11" ht="24.75" thickBot="1">
      <c r="A2" s="264" t="s">
        <v>145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1" ht="14.25" customHeight="1" thickBot="1">
      <c r="A3" s="242"/>
      <c r="B3" s="243"/>
      <c r="C3" s="119"/>
      <c r="D3" s="258"/>
      <c r="E3" s="259"/>
      <c r="F3" s="260"/>
      <c r="G3" s="119"/>
      <c r="H3" s="256" t="s">
        <v>151</v>
      </c>
      <c r="I3" s="256"/>
      <c r="J3" s="257"/>
    </row>
    <row r="4" spans="1:11" ht="14.25" customHeight="1" thickBot="1">
      <c r="A4" s="120"/>
      <c r="B4" s="121"/>
      <c r="C4" s="121"/>
      <c r="D4" s="122"/>
      <c r="E4" s="123"/>
      <c r="F4" s="122"/>
      <c r="G4" s="121"/>
      <c r="H4" s="11"/>
      <c r="I4" s="11"/>
      <c r="J4" s="124"/>
    </row>
    <row r="5" spans="1:11" ht="14.25" customHeight="1">
      <c r="A5" s="101"/>
      <c r="B5" s="269" t="s">
        <v>142</v>
      </c>
      <c r="C5" s="276"/>
      <c r="D5" s="82" t="s">
        <v>32</v>
      </c>
      <c r="E5" s="82" t="s">
        <v>33</v>
      </c>
      <c r="F5" s="273" t="s">
        <v>191</v>
      </c>
      <c r="G5" s="270"/>
      <c r="H5" s="269" t="s">
        <v>120</v>
      </c>
      <c r="I5" s="270"/>
      <c r="J5" s="125"/>
      <c r="K5" s="83"/>
    </row>
    <row r="6" spans="1:11" ht="14.25" customHeight="1" thickBot="1">
      <c r="A6" s="101"/>
      <c r="B6" s="274" t="s">
        <v>34</v>
      </c>
      <c r="C6" s="275"/>
      <c r="D6" s="194"/>
      <c r="E6" s="195"/>
      <c r="F6" s="271"/>
      <c r="G6" s="272"/>
      <c r="H6" s="267">
        <v>43343</v>
      </c>
      <c r="I6" s="268"/>
      <c r="J6" s="125"/>
      <c r="K6" s="83"/>
    </row>
    <row r="7" spans="1:11" ht="14.25" customHeight="1">
      <c r="A7" s="126"/>
      <c r="B7" s="13"/>
      <c r="C7" s="14"/>
      <c r="D7" s="13"/>
      <c r="E7" s="14"/>
      <c r="F7" s="13"/>
      <c r="G7" s="127"/>
      <c r="H7" s="127"/>
      <c r="I7" s="127"/>
      <c r="J7" s="125"/>
    </row>
    <row r="8" spans="1:11" ht="17.25" thickBot="1">
      <c r="A8" s="128" t="s">
        <v>0</v>
      </c>
      <c r="B8" s="129" t="s">
        <v>132</v>
      </c>
      <c r="C8" s="87" t="s">
        <v>133</v>
      </c>
      <c r="D8" s="130" t="str">
        <f>IF(ListFrequencyBudgetSelection = 0, "No Budget", ListFrequencyBudgetSelection)</f>
        <v>Fortnightly</v>
      </c>
      <c r="E8" s="131"/>
      <c r="F8" s="132" t="s">
        <v>16</v>
      </c>
      <c r="G8" s="129" t="s">
        <v>132</v>
      </c>
      <c r="H8" s="87" t="s">
        <v>133</v>
      </c>
      <c r="I8" s="130" t="str">
        <f>IF(ListFrequencyBudgetSelection = 0, "No Budget", ListFrequencyBudgetSelection)</f>
        <v>Fortnightly</v>
      </c>
      <c r="J8" s="125"/>
    </row>
    <row r="9" spans="1:11" ht="14.25" customHeight="1" thickBot="1">
      <c r="A9" s="133" t="s">
        <v>214</v>
      </c>
      <c r="B9" s="197"/>
      <c r="C9" s="134" t="s">
        <v>71</v>
      </c>
      <c r="D9" s="208">
        <f ca="1">B9 * VLOOKUP(C9, TableIncome, ConstColumnAnnualRate, FALSE) / ListFrequencyBudgetSelectionValue</f>
        <v>0</v>
      </c>
      <c r="E9" s="127"/>
      <c r="F9" s="135" t="s">
        <v>152</v>
      </c>
      <c r="G9" s="197"/>
      <c r="H9" s="134" t="s">
        <v>72</v>
      </c>
      <c r="I9" s="208">
        <f t="shared" ref="I9:I16" ca="1" si="0">G9 * VLOOKUP(H9, TableExpense, ConstColumnAnnualRate, FALSE) / ListFrequencyBudgetSelectionValue</f>
        <v>0</v>
      </c>
      <c r="J9" s="136" t="s">
        <v>169</v>
      </c>
    </row>
    <row r="10" spans="1:11" ht="14.25" customHeight="1" thickBot="1">
      <c r="A10" s="133" t="s">
        <v>209</v>
      </c>
      <c r="B10" s="196"/>
      <c r="C10" s="134" t="s">
        <v>71</v>
      </c>
      <c r="D10" s="208">
        <f t="shared" ref="D10:D16" ca="1" si="1">B10 * VLOOKUP(C10, TableIncome, ConstColumnAnnualRate, FALSE) / ListFrequencyBudgetSelectionValue</f>
        <v>0</v>
      </c>
      <c r="E10" s="127"/>
      <c r="F10" s="135" t="s">
        <v>17</v>
      </c>
      <c r="G10" s="197"/>
      <c r="H10" s="134" t="s">
        <v>72</v>
      </c>
      <c r="I10" s="208">
        <f t="shared" ca="1" si="0"/>
        <v>0</v>
      </c>
      <c r="J10" s="136" t="s">
        <v>169</v>
      </c>
    </row>
    <row r="11" spans="1:11" ht="14.25" customHeight="1" thickBot="1">
      <c r="A11" s="133" t="s">
        <v>208</v>
      </c>
      <c r="B11" s="197"/>
      <c r="C11" s="134" t="s">
        <v>71</v>
      </c>
      <c r="D11" s="208">
        <f t="shared" ca="1" si="1"/>
        <v>0</v>
      </c>
      <c r="E11" s="127"/>
      <c r="F11" s="135" t="s">
        <v>44</v>
      </c>
      <c r="G11" s="197"/>
      <c r="H11" s="134" t="s">
        <v>73</v>
      </c>
      <c r="I11" s="209">
        <f t="shared" ca="1" si="0"/>
        <v>0</v>
      </c>
      <c r="J11" s="136" t="s">
        <v>87</v>
      </c>
    </row>
    <row r="12" spans="1:11" ht="14.25" customHeight="1" thickBot="1">
      <c r="A12" s="133" t="s">
        <v>1</v>
      </c>
      <c r="B12" s="196"/>
      <c r="C12" s="134" t="s">
        <v>71</v>
      </c>
      <c r="D12" s="208">
        <f t="shared" ca="1" si="1"/>
        <v>0</v>
      </c>
      <c r="E12" s="127"/>
      <c r="F12" s="135" t="s">
        <v>35</v>
      </c>
      <c r="G12" s="197"/>
      <c r="H12" s="134" t="s">
        <v>73</v>
      </c>
      <c r="I12" s="209">
        <f t="shared" ca="1" si="0"/>
        <v>0</v>
      </c>
      <c r="J12" s="136" t="s">
        <v>87</v>
      </c>
    </row>
    <row r="13" spans="1:11" ht="14.25" customHeight="1" thickBot="1">
      <c r="A13" s="137" t="s">
        <v>29</v>
      </c>
      <c r="B13" s="197"/>
      <c r="C13" s="134" t="s">
        <v>71</v>
      </c>
      <c r="D13" s="208">
        <f t="shared" ca="1" si="1"/>
        <v>0</v>
      </c>
      <c r="E13" s="127"/>
      <c r="F13" s="135" t="s">
        <v>24</v>
      </c>
      <c r="G13" s="197"/>
      <c r="H13" s="134" t="s">
        <v>72</v>
      </c>
      <c r="I13" s="208">
        <f t="shared" ca="1" si="0"/>
        <v>0</v>
      </c>
      <c r="J13" s="136" t="s">
        <v>169</v>
      </c>
    </row>
    <row r="14" spans="1:11" ht="14.25" customHeight="1" thickBot="1">
      <c r="A14" s="133" t="s">
        <v>2</v>
      </c>
      <c r="B14" s="197"/>
      <c r="C14" s="134" t="s">
        <v>71</v>
      </c>
      <c r="D14" s="208">
        <f t="shared" ca="1" si="1"/>
        <v>0</v>
      </c>
      <c r="E14" s="127"/>
      <c r="F14" s="138" t="s">
        <v>54</v>
      </c>
      <c r="G14" s="197"/>
      <c r="H14" s="134" t="s">
        <v>70</v>
      </c>
      <c r="I14" s="208">
        <f t="shared" ca="1" si="0"/>
        <v>0</v>
      </c>
      <c r="J14" s="136" t="s">
        <v>169</v>
      </c>
    </row>
    <row r="15" spans="1:11" ht="14.25" customHeight="1" thickBot="1">
      <c r="A15" s="133" t="s">
        <v>129</v>
      </c>
      <c r="B15" s="197"/>
      <c r="C15" s="134" t="s">
        <v>72</v>
      </c>
      <c r="D15" s="208">
        <f ca="1">B15 * VLOOKUP(C15, TableIncome, ConstColumnAnnualRate, FALSE) / ListFrequencyBudgetSelectionValue</f>
        <v>0</v>
      </c>
      <c r="E15" s="127"/>
      <c r="F15" s="135" t="s">
        <v>25</v>
      </c>
      <c r="G15" s="197"/>
      <c r="H15" s="134" t="s">
        <v>70</v>
      </c>
      <c r="I15" s="208">
        <f t="shared" ca="1" si="0"/>
        <v>0</v>
      </c>
      <c r="J15" s="136" t="s">
        <v>169</v>
      </c>
    </row>
    <row r="16" spans="1:11" ht="14.25" customHeight="1" thickBot="1">
      <c r="A16" s="133" t="s">
        <v>28</v>
      </c>
      <c r="B16" s="197"/>
      <c r="C16" s="134" t="s">
        <v>71</v>
      </c>
      <c r="D16" s="208">
        <f t="shared" ca="1" si="1"/>
        <v>0</v>
      </c>
      <c r="E16" s="148"/>
      <c r="F16" s="135" t="s">
        <v>18</v>
      </c>
      <c r="G16" s="197"/>
      <c r="H16" s="134" t="s">
        <v>73</v>
      </c>
      <c r="I16" s="209">
        <f t="shared" ca="1" si="0"/>
        <v>0</v>
      </c>
      <c r="J16" s="136" t="s">
        <v>87</v>
      </c>
      <c r="K16" s="79"/>
    </row>
    <row r="17" spans="1:11" ht="17.25" thickBot="1">
      <c r="A17" s="139" t="s">
        <v>3</v>
      </c>
      <c r="B17" s="140"/>
      <c r="C17" s="127"/>
      <c r="D17" s="203">
        <f ca="1">SUM(D9:D16)</f>
        <v>0</v>
      </c>
      <c r="E17" s="127"/>
      <c r="F17" s="141" t="s">
        <v>5</v>
      </c>
      <c r="G17" s="142"/>
      <c r="H17" s="143"/>
      <c r="I17" s="203">
        <f ca="1">SUM(I9:I16)</f>
        <v>0</v>
      </c>
      <c r="J17" s="144">
        <f ca="1">IF(TotalIncome = 0, 0, I17 / TotalIncome)</f>
        <v>0</v>
      </c>
      <c r="K17" s="81"/>
    </row>
    <row r="18" spans="1:11" ht="14.25" customHeight="1">
      <c r="A18" s="120"/>
      <c r="B18" s="127"/>
      <c r="C18" s="127"/>
      <c r="D18" s="127"/>
      <c r="E18" s="127"/>
      <c r="F18" s="147"/>
      <c r="G18" s="142"/>
      <c r="H18" s="148"/>
      <c r="I18" s="18"/>
      <c r="J18" s="149"/>
      <c r="K18" s="79"/>
    </row>
    <row r="19" spans="1:11" ht="14.25" customHeight="1" thickBot="1">
      <c r="A19" s="150" t="s">
        <v>197</v>
      </c>
      <c r="B19" s="129" t="s">
        <v>132</v>
      </c>
      <c r="C19" s="87" t="s">
        <v>133</v>
      </c>
      <c r="D19" s="130" t="str">
        <f>IF(ListFrequencyBudgetSelection = 0, "No Budget", ListFrequencyBudgetSelection)</f>
        <v>Fortnightly</v>
      </c>
      <c r="E19" s="160"/>
      <c r="F19" s="151" t="s">
        <v>19</v>
      </c>
      <c r="G19" s="129" t="s">
        <v>132</v>
      </c>
      <c r="H19" s="87" t="s">
        <v>133</v>
      </c>
      <c r="I19" s="130" t="str">
        <f>IF(ListFrequencyBudgetSelection = 0, "No Budget", ListFrequencyBudgetSelection)</f>
        <v>Fortnightly</v>
      </c>
      <c r="J19" s="152"/>
      <c r="K19" s="79"/>
    </row>
    <row r="20" spans="1:11" ht="14.25" customHeight="1" thickBot="1">
      <c r="A20" s="133"/>
      <c r="B20" s="198"/>
      <c r="C20" s="134" t="s">
        <v>71</v>
      </c>
      <c r="D20" s="208">
        <f ca="1">B20 * VLOOKUP(C20, TableExpense, ConstColumnAnnualRate, FALSE) / ListFrequencyBudgetSelectionValue</f>
        <v>0</v>
      </c>
      <c r="E20" s="154" t="s">
        <v>169</v>
      </c>
      <c r="F20" s="135" t="s">
        <v>129</v>
      </c>
      <c r="G20" s="198"/>
      <c r="H20" s="134" t="s">
        <v>72</v>
      </c>
      <c r="I20" s="208">
        <f ca="1">G20 * VLOOKUP(H20, TableExpense, ConstColumnAnnualRate, FALSE) / ListFrequencyBudgetSelectionValue</f>
        <v>0</v>
      </c>
      <c r="J20" s="144">
        <f ca="1">IF(TotalIncome = 0, 0, I20 / TotalIncome)</f>
        <v>0</v>
      </c>
      <c r="K20" s="81"/>
    </row>
    <row r="21" spans="1:11" ht="14.25" customHeight="1" thickBot="1">
      <c r="A21" s="133"/>
      <c r="B21" s="197"/>
      <c r="C21" s="134" t="s">
        <v>71</v>
      </c>
      <c r="D21" s="216">
        <f ca="1">B21 * VLOOKUP(C21, TableExpense, ConstColumnAnnualRate, FALSE) / ListFrequencyBudgetSelectionValue</f>
        <v>0</v>
      </c>
      <c r="E21" s="154" t="s">
        <v>169</v>
      </c>
      <c r="F21" s="135" t="s">
        <v>160</v>
      </c>
      <c r="G21" s="197"/>
      <c r="H21" s="134" t="s">
        <v>71</v>
      </c>
      <c r="I21" s="208">
        <f ca="1">G21 * VLOOKUP(H21, TableExpense, ConstColumnAnnualRate, FALSE) / ListFrequencyBudgetSelectionValue</f>
        <v>0</v>
      </c>
      <c r="J21" s="144">
        <f ca="1">IF(TotalIncome = 0, 0, I21 / TotalIncome)</f>
        <v>0</v>
      </c>
      <c r="K21" s="81"/>
    </row>
    <row r="22" spans="1:11" ht="14.25" customHeight="1" thickBot="1">
      <c r="A22" s="133"/>
      <c r="B22" s="197"/>
      <c r="C22" s="134" t="s">
        <v>71</v>
      </c>
      <c r="D22" s="208">
        <f ca="1">B22 * VLOOKUP(C22, TableExpense, ConstColumnAnnualRate, FALSE) / ListFrequencyBudgetSelectionValue</f>
        <v>0</v>
      </c>
      <c r="E22" s="154" t="s">
        <v>169</v>
      </c>
      <c r="F22" s="138" t="s">
        <v>45</v>
      </c>
      <c r="G22" s="198"/>
      <c r="H22" s="134" t="s">
        <v>72</v>
      </c>
      <c r="I22" s="208">
        <f ca="1">G22 * VLOOKUP(H22, TableExpense, ConstColumnAnnualRate, FALSE) / ListFrequencyBudgetSelectionValue</f>
        <v>0</v>
      </c>
      <c r="J22" s="136" t="s">
        <v>169</v>
      </c>
      <c r="K22" s="81"/>
    </row>
    <row r="23" spans="1:11" ht="17.25" customHeight="1" thickBot="1">
      <c r="A23" s="139" t="s">
        <v>5</v>
      </c>
      <c r="B23" s="127"/>
      <c r="C23" s="127"/>
      <c r="D23" s="203">
        <f ca="1">SUM(D20:D22)</f>
        <v>0</v>
      </c>
      <c r="E23" s="153">
        <f ca="1">IF(TotalIncome = 0, 0, D23 / TotalIncome)</f>
        <v>0</v>
      </c>
      <c r="F23" s="138" t="s">
        <v>161</v>
      </c>
      <c r="G23" s="197"/>
      <c r="H23" s="134" t="s">
        <v>73</v>
      </c>
      <c r="I23" s="208">
        <f ca="1">G23 * VLOOKUP(H23, TableExpense, ConstColumnAnnualRate, FALSE) / ListFrequencyBudgetSelectionValue</f>
        <v>0</v>
      </c>
      <c r="J23" s="136" t="s">
        <v>169</v>
      </c>
      <c r="K23" s="79"/>
    </row>
    <row r="24" spans="1:11" ht="14.25" customHeight="1" thickBot="1">
      <c r="A24" s="120"/>
      <c r="B24" s="127"/>
      <c r="C24" s="127"/>
      <c r="D24" s="127"/>
      <c r="E24" s="127"/>
      <c r="F24" s="138" t="s">
        <v>78</v>
      </c>
      <c r="G24" s="198"/>
      <c r="H24" s="134" t="s">
        <v>73</v>
      </c>
      <c r="I24" s="209">
        <f ca="1">G24 * VLOOKUP(H24, TableExpense, ConstColumnAnnualRate, FALSE) / ListFrequencyBudgetSelectionValue</f>
        <v>0</v>
      </c>
      <c r="J24" s="136" t="s">
        <v>87</v>
      </c>
      <c r="K24" s="79"/>
    </row>
    <row r="25" spans="1:11" ht="14.25" customHeight="1" thickBot="1">
      <c r="A25" s="150" t="s">
        <v>4</v>
      </c>
      <c r="B25" s="129" t="s">
        <v>132</v>
      </c>
      <c r="C25" s="87" t="s">
        <v>133</v>
      </c>
      <c r="D25" s="130" t="str">
        <f>IF(ListFrequencyBudgetSelection = 0, "No Budget", ListFrequencyBudgetSelection)</f>
        <v>Fortnightly</v>
      </c>
      <c r="E25" s="143"/>
      <c r="F25" s="219" t="s">
        <v>79</v>
      </c>
      <c r="G25" s="220"/>
      <c r="H25" s="221" t="s">
        <v>73</v>
      </c>
      <c r="I25" s="222">
        <f t="shared" ref="I25:I41" ca="1" si="2">G25 * VLOOKUP(H25, TableExpense, ConstColumnAnnualRate, FALSE) / ListFrequencyBudgetSelectionValue</f>
        <v>0</v>
      </c>
      <c r="J25" s="223" t="s">
        <v>87</v>
      </c>
      <c r="K25" s="79"/>
    </row>
    <row r="26" spans="1:11" ht="14.25" customHeight="1" thickBot="1">
      <c r="A26" s="133" t="s">
        <v>153</v>
      </c>
      <c r="B26" s="199"/>
      <c r="C26" s="134" t="s">
        <v>71</v>
      </c>
      <c r="D26" s="208">
        <f ca="1">B26 * VLOOKUP(C26, TableExpense, ConstColumnAnnualRate, FALSE) / ListFrequencyBudgetSelectionValue</f>
        <v>0</v>
      </c>
      <c r="E26" s="153">
        <f ca="1">IF(TotalIncome = 0, 0, D26 / TotalIncome)</f>
        <v>0</v>
      </c>
      <c r="F26" s="135" t="s">
        <v>80</v>
      </c>
      <c r="G26" s="198"/>
      <c r="H26" s="134" t="s">
        <v>73</v>
      </c>
      <c r="I26" s="209">
        <f t="shared" ca="1" si="2"/>
        <v>0</v>
      </c>
      <c r="J26" s="136" t="s">
        <v>87</v>
      </c>
      <c r="K26" s="79"/>
    </row>
    <row r="27" spans="1:11" ht="14.25" customHeight="1" thickBot="1">
      <c r="A27" s="137" t="s">
        <v>37</v>
      </c>
      <c r="B27" s="197"/>
      <c r="C27" s="134" t="s">
        <v>70</v>
      </c>
      <c r="D27" s="208">
        <f ca="1">B27 * VLOOKUP(C27, TableExpense, ConstColumnAnnualRate, FALSE) / ListFrequencyBudgetSelectionValue</f>
        <v>0</v>
      </c>
      <c r="E27" s="153">
        <f ca="1">IF(TotalIncome = 0, 0, D27 / TotalIncome)</f>
        <v>0</v>
      </c>
      <c r="F27" s="138" t="s">
        <v>162</v>
      </c>
      <c r="G27" s="198"/>
      <c r="H27" s="134" t="s">
        <v>73</v>
      </c>
      <c r="I27" s="209">
        <f t="shared" ca="1" si="2"/>
        <v>0</v>
      </c>
      <c r="J27" s="136" t="s">
        <v>87</v>
      </c>
      <c r="K27" s="79"/>
    </row>
    <row r="28" spans="1:11" ht="14.25" customHeight="1" thickBot="1">
      <c r="A28" s="133" t="s">
        <v>36</v>
      </c>
      <c r="B28" s="197"/>
      <c r="C28" s="134" t="s">
        <v>71</v>
      </c>
      <c r="D28" s="208">
        <f t="shared" ref="D28:D33" ca="1" si="3">B28 * VLOOKUP(C28, TableExpense, ConstColumnAnnualRate, FALSE) / ListFrequencyBudgetSelectionValue</f>
        <v>0</v>
      </c>
      <c r="E28" s="153">
        <f ca="1">IF(TotalIncome = 0, 0, D28 / TotalIncome)</f>
        <v>0</v>
      </c>
      <c r="F28" s="135" t="s">
        <v>163</v>
      </c>
      <c r="G28" s="197"/>
      <c r="H28" s="134" t="s">
        <v>72</v>
      </c>
      <c r="I28" s="208">
        <f t="shared" ca="1" si="2"/>
        <v>0</v>
      </c>
      <c r="J28" s="136" t="s">
        <v>169</v>
      </c>
      <c r="K28" s="81"/>
    </row>
    <row r="29" spans="1:11" ht="14.25" customHeight="1" thickBot="1">
      <c r="A29" s="133" t="s">
        <v>22</v>
      </c>
      <c r="B29" s="198"/>
      <c r="C29" s="134" t="s">
        <v>71</v>
      </c>
      <c r="D29" s="210">
        <f t="shared" ca="1" si="3"/>
        <v>0</v>
      </c>
      <c r="E29" s="154" t="s">
        <v>86</v>
      </c>
      <c r="F29" s="135" t="s">
        <v>41</v>
      </c>
      <c r="G29" s="197"/>
      <c r="H29" s="134" t="s">
        <v>70</v>
      </c>
      <c r="I29" s="208">
        <f t="shared" ca="1" si="2"/>
        <v>0</v>
      </c>
      <c r="J29" s="136" t="s">
        <v>169</v>
      </c>
      <c r="K29" s="79"/>
    </row>
    <row r="30" spans="1:11" ht="14.25" customHeight="1" thickBot="1">
      <c r="A30" s="133" t="s">
        <v>23</v>
      </c>
      <c r="B30" s="198"/>
      <c r="C30" s="134" t="s">
        <v>71</v>
      </c>
      <c r="D30" s="210">
        <f t="shared" ca="1" si="3"/>
        <v>0</v>
      </c>
      <c r="E30" s="154" t="s">
        <v>86</v>
      </c>
      <c r="F30" s="138" t="s">
        <v>38</v>
      </c>
      <c r="G30" s="197"/>
      <c r="H30" s="134" t="s">
        <v>70</v>
      </c>
      <c r="I30" s="208">
        <f t="shared" ca="1" si="2"/>
        <v>0</v>
      </c>
      <c r="J30" s="136" t="s">
        <v>169</v>
      </c>
      <c r="K30" s="79"/>
    </row>
    <row r="31" spans="1:11" ht="14.25" customHeight="1" thickBot="1">
      <c r="A31" s="133" t="s">
        <v>128</v>
      </c>
      <c r="B31" s="198"/>
      <c r="C31" s="134" t="s">
        <v>73</v>
      </c>
      <c r="D31" s="210">
        <f t="shared" ca="1" si="3"/>
        <v>0</v>
      </c>
      <c r="E31" s="154" t="s">
        <v>86</v>
      </c>
      <c r="F31" s="135" t="s">
        <v>20</v>
      </c>
      <c r="G31" s="197"/>
      <c r="H31" s="134" t="s">
        <v>72</v>
      </c>
      <c r="I31" s="208">
        <f t="shared" ca="1" si="2"/>
        <v>0</v>
      </c>
      <c r="J31" s="144">
        <f ca="1">IF(TotalIncome = 0, 0, I31 / TotalIncome)</f>
        <v>0</v>
      </c>
      <c r="K31" s="79"/>
    </row>
    <row r="32" spans="1:11" ht="14.25" customHeight="1" thickBot="1">
      <c r="A32" s="133" t="s">
        <v>154</v>
      </c>
      <c r="B32" s="198"/>
      <c r="C32" s="134" t="s">
        <v>73</v>
      </c>
      <c r="D32" s="210">
        <f t="shared" ca="1" si="3"/>
        <v>0</v>
      </c>
      <c r="E32" s="154" t="s">
        <v>86</v>
      </c>
      <c r="F32" s="135" t="s">
        <v>21</v>
      </c>
      <c r="G32" s="197"/>
      <c r="H32" s="134" t="s">
        <v>70</v>
      </c>
      <c r="I32" s="208">
        <f t="shared" ca="1" si="2"/>
        <v>0</v>
      </c>
      <c r="J32" s="144">
        <f ca="1">IF(TotalIncome = 0, 0, I32 / TotalIncome)</f>
        <v>0</v>
      </c>
      <c r="K32" s="79"/>
    </row>
    <row r="33" spans="1:12" ht="14.25" customHeight="1" thickBot="1">
      <c r="A33" s="133" t="s">
        <v>126</v>
      </c>
      <c r="B33" s="198"/>
      <c r="C33" s="134" t="s">
        <v>73</v>
      </c>
      <c r="D33" s="210">
        <f t="shared" ca="1" si="3"/>
        <v>0</v>
      </c>
      <c r="E33" s="154" t="s">
        <v>86</v>
      </c>
      <c r="F33" s="138" t="s">
        <v>39</v>
      </c>
      <c r="G33" s="197"/>
      <c r="H33" s="134" t="s">
        <v>70</v>
      </c>
      <c r="I33" s="208">
        <f t="shared" ca="1" si="2"/>
        <v>0</v>
      </c>
      <c r="J33" s="136" t="s">
        <v>169</v>
      </c>
      <c r="K33" s="79"/>
    </row>
    <row r="34" spans="1:12" ht="17.25" customHeight="1" thickBot="1">
      <c r="A34" s="139" t="s">
        <v>5</v>
      </c>
      <c r="B34" s="146"/>
      <c r="C34" s="127"/>
      <c r="D34" s="203">
        <f ca="1">SUM(D26:D33)</f>
        <v>0</v>
      </c>
      <c r="E34" s="153">
        <f ca="1">IF(TotalIncome = 0, 0, D34 / TotalIncome)</f>
        <v>0</v>
      </c>
      <c r="F34" s="135" t="s">
        <v>125</v>
      </c>
      <c r="G34" s="197"/>
      <c r="H34" s="134" t="s">
        <v>75</v>
      </c>
      <c r="I34" s="208">
        <f t="shared" ca="1" si="2"/>
        <v>0</v>
      </c>
      <c r="J34" s="136" t="s">
        <v>169</v>
      </c>
      <c r="K34" s="79"/>
    </row>
    <row r="35" spans="1:12" ht="14.25" customHeight="1" thickBot="1">
      <c r="A35" s="145" t="s">
        <v>6</v>
      </c>
      <c r="B35" s="146"/>
      <c r="C35" s="143"/>
      <c r="D35" s="18" t="s">
        <v>6</v>
      </c>
      <c r="E35" s="143"/>
      <c r="F35" s="138" t="s">
        <v>164</v>
      </c>
      <c r="G35" s="197"/>
      <c r="H35" s="134" t="s">
        <v>70</v>
      </c>
      <c r="I35" s="208">
        <f t="shared" ca="1" si="2"/>
        <v>0</v>
      </c>
      <c r="J35" s="136" t="s">
        <v>169</v>
      </c>
      <c r="K35" s="81"/>
      <c r="L35" s="79"/>
    </row>
    <row r="36" spans="1:12" ht="14.25" customHeight="1" thickBot="1">
      <c r="A36" s="150" t="s">
        <v>7</v>
      </c>
      <c r="B36" s="129" t="s">
        <v>132</v>
      </c>
      <c r="C36" s="87" t="s">
        <v>133</v>
      </c>
      <c r="D36" s="130" t="str">
        <f>IF(ListFrequencyBudgetSelection = 0, "No Budget", ListFrequencyBudgetSelection)</f>
        <v>Fortnightly</v>
      </c>
      <c r="E36" s="143"/>
      <c r="F36" s="224" t="s">
        <v>40</v>
      </c>
      <c r="G36" s="225"/>
      <c r="H36" s="221" t="s">
        <v>70</v>
      </c>
      <c r="I36" s="226">
        <f t="shared" ca="1" si="2"/>
        <v>0</v>
      </c>
      <c r="J36" s="223" t="s">
        <v>169</v>
      </c>
      <c r="K36" s="79"/>
    </row>
    <row r="37" spans="1:12" ht="14.25" customHeight="1" thickBot="1">
      <c r="A37" s="133" t="s">
        <v>46</v>
      </c>
      <c r="B37" s="198"/>
      <c r="C37" s="134" t="s">
        <v>71</v>
      </c>
      <c r="D37" s="210">
        <f ca="1">B37 * VLOOKUP(C37, TableExpense, ConstColumnAnnualRate, FALSE) / ListFrequencyBudgetSelectionValue</f>
        <v>0</v>
      </c>
      <c r="E37" s="154" t="s">
        <v>86</v>
      </c>
      <c r="F37" s="135" t="s">
        <v>165</v>
      </c>
      <c r="G37" s="197"/>
      <c r="H37" s="134" t="s">
        <v>73</v>
      </c>
      <c r="I37" s="208">
        <f t="shared" ca="1" si="2"/>
        <v>0</v>
      </c>
      <c r="J37" s="136" t="s">
        <v>169</v>
      </c>
      <c r="K37" s="79"/>
    </row>
    <row r="38" spans="1:12" ht="14.25" customHeight="1" thickBot="1">
      <c r="A38" s="133" t="s">
        <v>47</v>
      </c>
      <c r="B38" s="198"/>
      <c r="C38" s="134" t="s">
        <v>74</v>
      </c>
      <c r="D38" s="210">
        <f ca="1">B38 * VLOOKUP(C38, TableExpense, ConstColumnAnnualRate, FALSE) / ListFrequencyBudgetSelectionValue</f>
        <v>0</v>
      </c>
      <c r="E38" s="154" t="s">
        <v>86</v>
      </c>
      <c r="F38" s="135" t="s">
        <v>123</v>
      </c>
      <c r="G38" s="197"/>
      <c r="H38" s="134" t="s">
        <v>71</v>
      </c>
      <c r="I38" s="208">
        <f t="shared" ca="1" si="2"/>
        <v>0</v>
      </c>
      <c r="J38" s="136" t="s">
        <v>169</v>
      </c>
      <c r="K38" s="79"/>
    </row>
    <row r="39" spans="1:12" ht="14.25" customHeight="1" thickBot="1">
      <c r="A39" s="133" t="s">
        <v>207</v>
      </c>
      <c r="B39" s="198"/>
      <c r="C39" s="134" t="s">
        <v>72</v>
      </c>
      <c r="D39" s="210">
        <f ca="1">B39 * VLOOKUP(C39, TableExpense, ConstColumnAnnualRate, FALSE) / ListFrequencyBudgetSelectionValue</f>
        <v>0</v>
      </c>
      <c r="E39" s="154" t="s">
        <v>86</v>
      </c>
      <c r="F39" s="138" t="s">
        <v>166</v>
      </c>
      <c r="G39" s="198"/>
      <c r="H39" s="134" t="s">
        <v>73</v>
      </c>
      <c r="I39" s="209">
        <f ca="1">G39 * VLOOKUP(H39, TableExpense, ConstColumnAnnualRate, FALSE) / ListFrequencyBudgetSelectionValue</f>
        <v>0</v>
      </c>
      <c r="J39" s="136" t="s">
        <v>87</v>
      </c>
    </row>
    <row r="40" spans="1:12" ht="14.25" customHeight="1" thickBot="1">
      <c r="A40" s="133" t="s">
        <v>213</v>
      </c>
      <c r="B40" s="198"/>
      <c r="C40" s="134" t="s">
        <v>72</v>
      </c>
      <c r="D40" s="210">
        <f ca="1">B40 * VLOOKUP(C40, TableExpense, ConstColumnAnnualRate, FALSE) / ListFrequencyBudgetSelectionValue</f>
        <v>0</v>
      </c>
      <c r="E40" s="154" t="s">
        <v>86</v>
      </c>
      <c r="F40" s="217" t="s">
        <v>198</v>
      </c>
      <c r="G40" s="197"/>
      <c r="H40" s="134" t="s">
        <v>72</v>
      </c>
      <c r="I40" s="208">
        <f t="shared" ca="1" si="2"/>
        <v>0</v>
      </c>
      <c r="J40" s="136" t="s">
        <v>169</v>
      </c>
    </row>
    <row r="41" spans="1:12" ht="17.25" customHeight="1" thickBot="1">
      <c r="A41" s="139" t="s">
        <v>5</v>
      </c>
      <c r="B41" s="146"/>
      <c r="C41" s="127"/>
      <c r="D41" s="203">
        <f ca="1">SUM(D37:D40)</f>
        <v>0</v>
      </c>
      <c r="E41" s="153">
        <f ca="1">IF(TotalIncome = 0, 0, D41 / TotalIncome)</f>
        <v>0</v>
      </c>
      <c r="F41" s="215" t="s">
        <v>199</v>
      </c>
      <c r="G41" s="197"/>
      <c r="H41" s="134" t="s">
        <v>72</v>
      </c>
      <c r="I41" s="208">
        <f t="shared" ca="1" si="2"/>
        <v>0</v>
      </c>
      <c r="J41" s="136" t="s">
        <v>169</v>
      </c>
    </row>
    <row r="42" spans="1:12" ht="14.25" customHeight="1" thickBot="1">
      <c r="A42" s="145"/>
      <c r="B42" s="155"/>
      <c r="C42" s="143"/>
      <c r="D42" s="18" t="s">
        <v>6</v>
      </c>
      <c r="E42" s="143"/>
      <c r="F42" s="215" t="s">
        <v>212</v>
      </c>
      <c r="G42" s="197"/>
      <c r="H42" s="134" t="s">
        <v>71</v>
      </c>
      <c r="I42" s="208">
        <f ca="1">G42 * VLOOKUP(H42, TableExpense, ConstColumnAnnualRate, FALSE) / ListFrequencyBudgetSelectionValue</f>
        <v>0</v>
      </c>
      <c r="J42" s="136" t="s">
        <v>169</v>
      </c>
      <c r="K42" s="81"/>
      <c r="L42" s="79"/>
    </row>
    <row r="43" spans="1:12" ht="14.25" customHeight="1" thickBot="1">
      <c r="A43" s="150" t="s">
        <v>8</v>
      </c>
      <c r="B43" s="129" t="s">
        <v>132</v>
      </c>
      <c r="C43" s="87" t="s">
        <v>133</v>
      </c>
      <c r="D43" s="130" t="str">
        <f>IF(ListFrequencyBudgetSelection = 0, "No Budget", ListFrequencyBudgetSelection)</f>
        <v>Fortnightly</v>
      </c>
      <c r="E43" s="143"/>
      <c r="F43" s="219" t="s">
        <v>200</v>
      </c>
      <c r="G43" s="225"/>
      <c r="H43" s="229" t="s">
        <v>72</v>
      </c>
      <c r="I43" s="226">
        <f ca="1">G43 * VLOOKUP(H43, TableExpense, ConstColumnAnnualRate, FALSE) / ListFrequencyBudgetSelectionValue</f>
        <v>0</v>
      </c>
      <c r="J43" s="223" t="s">
        <v>169</v>
      </c>
      <c r="K43" s="81"/>
      <c r="L43" s="79"/>
    </row>
    <row r="44" spans="1:12" ht="14.25" customHeight="1" thickBot="1">
      <c r="A44" s="133" t="s">
        <v>9</v>
      </c>
      <c r="B44" s="197"/>
      <c r="C44" s="134" t="s">
        <v>70</v>
      </c>
      <c r="D44" s="208">
        <f t="shared" ref="D44:D50" ca="1" si="4">B44 * VLOOKUP(C44, TableExpense, ConstColumnAnnualRate, FALSE) / ListFrequencyBudgetSelectionValue</f>
        <v>0</v>
      </c>
      <c r="E44" s="180" t="s">
        <v>169</v>
      </c>
      <c r="F44" s="135" t="s">
        <v>201</v>
      </c>
      <c r="G44" s="197"/>
      <c r="H44" s="134" t="s">
        <v>71</v>
      </c>
      <c r="I44" s="208">
        <f ca="1">G44 * VLOOKUP(H44, TableExpense, ConstColumnAnnualRate, FALSE) / ListFrequencyBudgetSelectionValue</f>
        <v>0</v>
      </c>
      <c r="J44" s="136" t="s">
        <v>169</v>
      </c>
      <c r="K44" s="79"/>
    </row>
    <row r="45" spans="1:12" ht="17.25" customHeight="1" thickBot="1">
      <c r="A45" s="133" t="s">
        <v>155</v>
      </c>
      <c r="B45" s="198"/>
      <c r="C45" s="134" t="s">
        <v>73</v>
      </c>
      <c r="D45" s="210">
        <f t="shared" ca="1" si="4"/>
        <v>0</v>
      </c>
      <c r="E45" s="154" t="s">
        <v>86</v>
      </c>
      <c r="F45" s="141" t="s">
        <v>5</v>
      </c>
      <c r="G45" s="18"/>
      <c r="H45" s="156"/>
      <c r="I45" s="203">
        <f ca="1">SUM(I20:I44)</f>
        <v>0</v>
      </c>
      <c r="J45" s="144">
        <f ca="1">IF(TotalIncome = 0, 0, I45 / TotalIncome)</f>
        <v>0</v>
      </c>
      <c r="K45" s="79"/>
    </row>
    <row r="46" spans="1:12" ht="17.25" customHeight="1" thickBot="1">
      <c r="A46" s="133" t="s">
        <v>156</v>
      </c>
      <c r="B46" s="198"/>
      <c r="C46" s="134" t="s">
        <v>73</v>
      </c>
      <c r="D46" s="210">
        <f t="shared" ca="1" si="4"/>
        <v>0</v>
      </c>
      <c r="E46" s="154" t="s">
        <v>86</v>
      </c>
      <c r="F46" s="250" t="s">
        <v>130</v>
      </c>
      <c r="G46" s="250"/>
      <c r="H46" s="204">
        <f ca="1">D34 + D41 + D51 + D61 + D70 +D23 + I17 + I45</f>
        <v>0</v>
      </c>
      <c r="I46" s="153">
        <f ca="1">IF(TotalIncome = 0, 0, H46 / TotalIncome)</f>
        <v>0</v>
      </c>
      <c r="J46" s="125"/>
      <c r="K46" s="79"/>
    </row>
    <row r="47" spans="1:12" ht="17.25" customHeight="1" thickBot="1">
      <c r="A47" s="133" t="s">
        <v>48</v>
      </c>
      <c r="B47" s="198"/>
      <c r="C47" s="134" t="s">
        <v>73</v>
      </c>
      <c r="D47" s="210">
        <f t="shared" ca="1" si="4"/>
        <v>0</v>
      </c>
      <c r="E47" s="154" t="s">
        <v>86</v>
      </c>
      <c r="F47" s="240" t="s">
        <v>131</v>
      </c>
      <c r="G47" s="241"/>
      <c r="H47" s="201">
        <f ca="1">TotalIncome - H46</f>
        <v>0</v>
      </c>
      <c r="I47" s="157">
        <f ca="1">IF(TotalIncome = 0, 0, H47 / TotalIncome)</f>
        <v>0</v>
      </c>
      <c r="J47" s="125"/>
      <c r="K47" s="79"/>
    </row>
    <row r="48" spans="1:12" ht="14.25" customHeight="1" thickBot="1">
      <c r="A48" s="133" t="s">
        <v>10</v>
      </c>
      <c r="B48" s="198"/>
      <c r="C48" s="134" t="s">
        <v>73</v>
      </c>
      <c r="D48" s="210">
        <f t="shared" ca="1" si="4"/>
        <v>0</v>
      </c>
      <c r="E48" s="154" t="s">
        <v>86</v>
      </c>
      <c r="F48" s="156"/>
      <c r="G48" s="156"/>
      <c r="H48" s="158"/>
      <c r="I48" s="17"/>
      <c r="J48" s="125"/>
      <c r="K48" s="79"/>
    </row>
    <row r="49" spans="1:12" ht="14.25" customHeight="1" thickBot="1">
      <c r="A49" s="133" t="s">
        <v>83</v>
      </c>
      <c r="B49" s="198"/>
      <c r="C49" s="134" t="s">
        <v>73</v>
      </c>
      <c r="D49" s="210">
        <f t="shared" ca="1" si="4"/>
        <v>0</v>
      </c>
      <c r="E49" s="154" t="s">
        <v>86</v>
      </c>
      <c r="F49" s="164" t="s">
        <v>187</v>
      </c>
      <c r="G49" s="162" t="s">
        <v>181</v>
      </c>
      <c r="H49" s="163" t="s">
        <v>42</v>
      </c>
      <c r="I49" s="20" t="str">
        <f>IF(ListFrequencyBudgetSelection = 0, "No Budget", UPPER(ListFrequencyBudgetSelection))</f>
        <v>FORTNIGHTLY</v>
      </c>
      <c r="J49" s="182" t="s">
        <v>192</v>
      </c>
      <c r="K49" s="81"/>
      <c r="L49" s="79"/>
    </row>
    <row r="50" spans="1:12" ht="14.25" customHeight="1" thickBot="1">
      <c r="A50" s="133" t="s">
        <v>157</v>
      </c>
      <c r="B50" s="197"/>
      <c r="C50" s="134" t="s">
        <v>70</v>
      </c>
      <c r="D50" s="208">
        <f t="shared" ca="1" si="4"/>
        <v>0</v>
      </c>
      <c r="E50" s="181" t="s">
        <v>169</v>
      </c>
      <c r="F50" s="177"/>
      <c r="G50" s="211"/>
      <c r="H50" s="212"/>
      <c r="I50" s="234">
        <f ca="1">H50 * VLOOKUP(LookupFrequencyDefaultOtherPayments, TableExpense, ConstColumnAnnualRate, FALSE) / ListFrequencyBudgetSelectionValue</f>
        <v>0</v>
      </c>
      <c r="J50" s="213">
        <f>'Creditors Sheet'!L7+'Creditors Sheet'!N7</f>
        <v>0</v>
      </c>
      <c r="K50" s="79"/>
    </row>
    <row r="51" spans="1:12" ht="17.25" customHeight="1" thickBot="1">
      <c r="A51" s="139" t="s">
        <v>5</v>
      </c>
      <c r="B51" s="146"/>
      <c r="C51" s="127"/>
      <c r="D51" s="203">
        <f ca="1">SUM(D44:D50)</f>
        <v>0</v>
      </c>
      <c r="E51" s="153">
        <f ca="1">IF(TotalIncome = 0, 0, D51 / TotalIncome)</f>
        <v>0</v>
      </c>
      <c r="F51" s="177"/>
      <c r="G51" s="211"/>
      <c r="H51" s="212"/>
      <c r="I51" s="234">
        <f t="shared" ref="I51:I60" ca="1" si="5">H51 * VLOOKUP(LookupFrequencyDefaultOtherPayments, TableExpense, ConstColumnAnnualRate, FALSE) / ListFrequencyBudgetSelectionValue</f>
        <v>0</v>
      </c>
      <c r="J51" s="213">
        <f>'Creditors Sheet'!L9+'Creditors Sheet'!N9</f>
        <v>0</v>
      </c>
      <c r="K51" s="79"/>
    </row>
    <row r="52" spans="1:12" ht="14.25" customHeight="1" thickBot="1">
      <c r="A52" s="139"/>
      <c r="B52" s="146"/>
      <c r="C52" s="127"/>
      <c r="D52" s="214"/>
      <c r="E52" s="153"/>
      <c r="F52" s="231"/>
      <c r="G52" s="232"/>
      <c r="H52" s="233"/>
      <c r="I52" s="234">
        <f t="shared" ca="1" si="5"/>
        <v>0</v>
      </c>
      <c r="J52" s="213">
        <f>'Creditors Sheet'!L11+'Creditors Sheet'!N11</f>
        <v>0</v>
      </c>
      <c r="K52" s="79"/>
    </row>
    <row r="53" spans="1:12" ht="14.25" customHeight="1" thickBot="1">
      <c r="A53" s="150" t="s">
        <v>11</v>
      </c>
      <c r="B53" s="129" t="s">
        <v>132</v>
      </c>
      <c r="C53" s="87" t="s">
        <v>133</v>
      </c>
      <c r="D53" s="130" t="str">
        <f>IF(ListFrequencyBudgetSelection = 0, "No Budget", ListFrequencyBudgetSelection)</f>
        <v>Fortnightly</v>
      </c>
      <c r="E53" s="153"/>
      <c r="F53" s="231"/>
      <c r="G53" s="232"/>
      <c r="H53" s="233"/>
      <c r="I53" s="234">
        <f t="shared" ca="1" si="5"/>
        <v>0</v>
      </c>
      <c r="J53" s="213">
        <f>'Creditors Sheet'!L13+'Creditors Sheet'!N13</f>
        <v>0</v>
      </c>
      <c r="K53" s="79"/>
    </row>
    <row r="54" spans="1:12" ht="14.25" customHeight="1" thickBot="1">
      <c r="A54" s="133" t="s">
        <v>30</v>
      </c>
      <c r="B54" s="197"/>
      <c r="C54" s="134" t="s">
        <v>71</v>
      </c>
      <c r="D54" s="208">
        <f t="shared" ref="D54:D60" ca="1" si="6">B54 * VLOOKUP(C54, TableExpense, ConstColumnAnnualRate, FALSE) / ListFrequencyBudgetSelectionValue</f>
        <v>0</v>
      </c>
      <c r="E54" s="181" t="s">
        <v>169</v>
      </c>
      <c r="F54" s="177"/>
      <c r="G54" s="211"/>
      <c r="H54" s="212"/>
      <c r="I54" s="234">
        <f t="shared" ca="1" si="5"/>
        <v>0</v>
      </c>
      <c r="J54" s="213">
        <f>'Creditors Sheet'!L15+'Creditors Sheet'!N15</f>
        <v>0</v>
      </c>
      <c r="K54" s="79"/>
    </row>
    <row r="55" spans="1:12" ht="14.25" customHeight="1" thickBot="1">
      <c r="A55" s="133" t="s">
        <v>31</v>
      </c>
      <c r="B55" s="197"/>
      <c r="C55" s="134" t="s">
        <v>70</v>
      </c>
      <c r="D55" s="208">
        <f t="shared" ca="1" si="6"/>
        <v>0</v>
      </c>
      <c r="E55" s="181" t="s">
        <v>169</v>
      </c>
      <c r="F55" s="177"/>
      <c r="G55" s="211"/>
      <c r="H55" s="212"/>
      <c r="I55" s="234">
        <f t="shared" ca="1" si="5"/>
        <v>0</v>
      </c>
      <c r="J55" s="213">
        <f>'Creditors Sheet'!L17+'Creditors Sheet'!N17</f>
        <v>0</v>
      </c>
      <c r="K55" s="79"/>
    </row>
    <row r="56" spans="1:12" ht="14.25" customHeight="1" thickBot="1">
      <c r="A56" s="133" t="s">
        <v>167</v>
      </c>
      <c r="B56" s="197"/>
      <c r="C56" s="134" t="s">
        <v>70</v>
      </c>
      <c r="D56" s="208">
        <f t="shared" ca="1" si="6"/>
        <v>0</v>
      </c>
      <c r="E56" s="181" t="s">
        <v>169</v>
      </c>
      <c r="F56" s="177"/>
      <c r="G56" s="211"/>
      <c r="H56" s="212"/>
      <c r="I56" s="234">
        <f t="shared" ca="1" si="5"/>
        <v>0</v>
      </c>
      <c r="J56" s="213">
        <f>'Creditors Sheet'!L19+'Creditors Sheet'!N19</f>
        <v>0</v>
      </c>
      <c r="K56" s="79"/>
    </row>
    <row r="57" spans="1:12" ht="14.25" customHeight="1" thickBot="1">
      <c r="A57" s="133" t="s">
        <v>12</v>
      </c>
      <c r="B57" s="197"/>
      <c r="C57" s="134" t="s">
        <v>70</v>
      </c>
      <c r="D57" s="208">
        <f t="shared" ca="1" si="6"/>
        <v>0</v>
      </c>
      <c r="E57" s="181" t="s">
        <v>169</v>
      </c>
      <c r="F57" s="177"/>
      <c r="G57" s="211"/>
      <c r="H57" s="212"/>
      <c r="I57" s="234">
        <f t="shared" ca="1" si="5"/>
        <v>0</v>
      </c>
      <c r="J57" s="213">
        <f>'Creditors Sheet'!L21+'Creditors Sheet'!N21</f>
        <v>0</v>
      </c>
      <c r="K57" s="79"/>
    </row>
    <row r="58" spans="1:12" ht="14.25" customHeight="1" thickBot="1">
      <c r="A58" s="133" t="s">
        <v>13</v>
      </c>
      <c r="B58" s="197"/>
      <c r="C58" s="134" t="s">
        <v>70</v>
      </c>
      <c r="D58" s="208">
        <f t="shared" ca="1" si="6"/>
        <v>0</v>
      </c>
      <c r="E58" s="181" t="s">
        <v>169</v>
      </c>
      <c r="F58" s="177"/>
      <c r="G58" s="211"/>
      <c r="H58" s="212"/>
      <c r="I58" s="234">
        <f t="shared" ca="1" si="5"/>
        <v>0</v>
      </c>
      <c r="J58" s="213">
        <f>'Creditors Sheet'!L23+'Creditors Sheet'!N23</f>
        <v>0</v>
      </c>
      <c r="K58" s="79"/>
    </row>
    <row r="59" spans="1:12" ht="14.25" customHeight="1" thickBot="1">
      <c r="A59" s="133" t="s">
        <v>14</v>
      </c>
      <c r="B59" s="197"/>
      <c r="C59" s="134" t="s">
        <v>70</v>
      </c>
      <c r="D59" s="208">
        <f t="shared" ca="1" si="6"/>
        <v>0</v>
      </c>
      <c r="E59" s="181" t="s">
        <v>169</v>
      </c>
      <c r="F59" s="177"/>
      <c r="G59" s="211"/>
      <c r="H59" s="212"/>
      <c r="I59" s="234">
        <f t="shared" ca="1" si="5"/>
        <v>0</v>
      </c>
      <c r="J59" s="213">
        <f>'Creditors Sheet'!L25+'Creditors Sheet'!N25</f>
        <v>0</v>
      </c>
      <c r="K59" s="81"/>
      <c r="L59" s="79"/>
    </row>
    <row r="60" spans="1:12" ht="14.25" customHeight="1" thickBot="1">
      <c r="A60" s="133" t="s">
        <v>15</v>
      </c>
      <c r="B60" s="197"/>
      <c r="C60" s="134" t="s">
        <v>70</v>
      </c>
      <c r="D60" s="208">
        <f t="shared" ca="1" si="6"/>
        <v>0</v>
      </c>
      <c r="E60" s="181" t="s">
        <v>169</v>
      </c>
      <c r="F60" s="177"/>
      <c r="G60" s="211"/>
      <c r="H60" s="212"/>
      <c r="I60" s="235">
        <f t="shared" ca="1" si="5"/>
        <v>0</v>
      </c>
      <c r="J60" s="213">
        <f>SUM('Creditors Sheet'!L27:L42)+SUM('Creditors Sheet'!N27:N42)</f>
        <v>0</v>
      </c>
      <c r="K60" s="79"/>
    </row>
    <row r="61" spans="1:12" ht="17.25" customHeight="1" thickBot="1">
      <c r="A61" s="139" t="s">
        <v>5</v>
      </c>
      <c r="B61" s="146"/>
      <c r="C61" s="143"/>
      <c r="D61" s="203">
        <f ca="1">SUM(D54:D60)</f>
        <v>0</v>
      </c>
      <c r="E61" s="153">
        <f ca="1">IF(TotalIncome = 0, 0, D61 / TotalIncome)</f>
        <v>0</v>
      </c>
      <c r="F61" s="190" t="s">
        <v>196</v>
      </c>
      <c r="G61" s="205">
        <f>SUM(G50:G60)</f>
        <v>0</v>
      </c>
      <c r="H61" s="205">
        <f>SUM(H50:H60)</f>
        <v>0</v>
      </c>
      <c r="I61" s="205">
        <f ca="1">SUM(I50:I60)</f>
        <v>0</v>
      </c>
      <c r="J61" s="206">
        <f>SUM(J50:J60)</f>
        <v>0</v>
      </c>
      <c r="K61" s="81"/>
      <c r="L61" s="79"/>
    </row>
    <row r="62" spans="1:12" ht="14.25" customHeight="1" thickBot="1">
      <c r="A62" s="120"/>
      <c r="B62" s="127"/>
      <c r="C62" s="127"/>
      <c r="D62" s="127"/>
      <c r="E62" s="127"/>
      <c r="F62" s="236"/>
      <c r="G62" s="237"/>
      <c r="H62" s="19"/>
      <c r="I62" s="183">
        <f ca="1">IF(TotalIncome = 0, 0, I61 / TotalIncome)</f>
        <v>0</v>
      </c>
      <c r="J62" s="184"/>
      <c r="K62" s="81"/>
      <c r="L62" s="79"/>
    </row>
    <row r="63" spans="1:12" ht="17.25" customHeight="1" thickBot="1">
      <c r="A63" s="150" t="s">
        <v>124</v>
      </c>
      <c r="B63" s="129" t="s">
        <v>132</v>
      </c>
      <c r="C63" s="87" t="s">
        <v>133</v>
      </c>
      <c r="D63" s="130" t="str">
        <f>IF(ListFrequencyBudgetSelection = 0, "No Budget", ListFrequencyBudgetSelection)</f>
        <v>Fortnightly</v>
      </c>
      <c r="E63" s="143"/>
      <c r="F63" s="251" t="str">
        <f>CONCATENATE("TOTAL ", UPPER(ListFrequencyBudgetSelection), " INCOME")</f>
        <v>TOTAL FORTNIGHTLY INCOME</v>
      </c>
      <c r="G63" s="252"/>
      <c r="H63" s="19"/>
      <c r="I63" s="203">
        <f ca="1">D17</f>
        <v>0</v>
      </c>
      <c r="J63" s="159"/>
      <c r="K63" s="79"/>
    </row>
    <row r="64" spans="1:12" ht="14.25" customHeight="1" thickBot="1">
      <c r="A64" s="133" t="s">
        <v>81</v>
      </c>
      <c r="B64" s="198"/>
      <c r="C64" s="134" t="s">
        <v>73</v>
      </c>
      <c r="D64" s="208">
        <f t="shared" ref="D64:D69" ca="1" si="7">B64 * VLOOKUP(C64, TableExpense, ConstColumnAnnualRate, FALSE) / ListFrequencyBudgetSelectionValue</f>
        <v>0</v>
      </c>
      <c r="E64" s="181" t="s">
        <v>169</v>
      </c>
      <c r="F64" s="236"/>
      <c r="G64" s="237"/>
      <c r="H64" s="19"/>
      <c r="I64" s="18"/>
      <c r="J64" s="187"/>
      <c r="K64" s="79"/>
    </row>
    <row r="65" spans="1:12" ht="17.25" customHeight="1" thickBot="1">
      <c r="A65" s="133" t="s">
        <v>82</v>
      </c>
      <c r="B65" s="198"/>
      <c r="C65" s="134" t="s">
        <v>73</v>
      </c>
      <c r="D65" s="209">
        <f t="shared" ca="1" si="7"/>
        <v>0</v>
      </c>
      <c r="E65" s="181" t="s">
        <v>87</v>
      </c>
      <c r="F65" s="251" t="str">
        <f>CONCATENATE("TOTAL ", UPPER(ListFrequencyBudgetSelection), " EXPENSES")</f>
        <v>TOTAL FORTNIGHTLY EXPENSES</v>
      </c>
      <c r="G65" s="252"/>
      <c r="H65" s="158">
        <f ca="1">IF(TotalIncome = 0, 0, I65 / TotalIncome)</f>
        <v>0</v>
      </c>
      <c r="I65" s="200">
        <f ca="1" xml:space="preserve"> H46 + I61</f>
        <v>0</v>
      </c>
      <c r="J65" s="188"/>
      <c r="K65" s="81"/>
      <c r="L65" s="79"/>
    </row>
    <row r="66" spans="1:12" ht="14.25" customHeight="1" thickBot="1">
      <c r="A66" s="133" t="s">
        <v>127</v>
      </c>
      <c r="B66" s="198"/>
      <c r="C66" s="134" t="s">
        <v>73</v>
      </c>
      <c r="D66" s="208">
        <f t="shared" ca="1" si="7"/>
        <v>0</v>
      </c>
      <c r="E66" s="181" t="s">
        <v>169</v>
      </c>
      <c r="F66" s="236"/>
      <c r="G66" s="237"/>
      <c r="H66" s="19"/>
      <c r="I66" s="18"/>
      <c r="J66" s="184"/>
      <c r="K66" s="81"/>
      <c r="L66" s="79"/>
    </row>
    <row r="67" spans="1:12" ht="17.25" customHeight="1" thickBot="1">
      <c r="A67" s="133" t="s">
        <v>158</v>
      </c>
      <c r="B67" s="198"/>
      <c r="C67" s="134" t="s">
        <v>74</v>
      </c>
      <c r="D67" s="208">
        <f t="shared" ca="1" si="7"/>
        <v>0</v>
      </c>
      <c r="E67" s="180" t="s">
        <v>169</v>
      </c>
      <c r="F67" s="238" t="str">
        <f>CONCATENATE("NET ", UPPER(ListFrequencyBudgetSelection), " RESULT")</f>
        <v>NET FORTNIGHTLY RESULT</v>
      </c>
      <c r="G67" s="239"/>
      <c r="H67" s="19"/>
      <c r="I67" s="204">
        <f ca="1">I63 - I65</f>
        <v>0</v>
      </c>
      <c r="J67" s="189"/>
      <c r="K67" s="12"/>
      <c r="L67" s="12"/>
    </row>
    <row r="68" spans="1:12" ht="14.25" customHeight="1" thickBot="1">
      <c r="A68" s="227" t="s">
        <v>43</v>
      </c>
      <c r="B68" s="230"/>
      <c r="C68" s="229" t="s">
        <v>70</v>
      </c>
      <c r="D68" s="226">
        <f t="shared" ca="1" si="7"/>
        <v>0</v>
      </c>
      <c r="E68" s="228" t="s">
        <v>169</v>
      </c>
      <c r="F68" s="191"/>
      <c r="G68" s="192"/>
      <c r="H68" s="19"/>
      <c r="I68" s="193"/>
      <c r="J68" s="189"/>
      <c r="K68" s="12"/>
      <c r="L68" s="12"/>
    </row>
    <row r="69" spans="1:12" ht="17.25" customHeight="1" thickBot="1">
      <c r="A69" s="137" t="s">
        <v>159</v>
      </c>
      <c r="B69" s="197"/>
      <c r="C69" s="134" t="s">
        <v>70</v>
      </c>
      <c r="D69" s="208">
        <f t="shared" ca="1" si="7"/>
        <v>0</v>
      </c>
      <c r="E69" s="180" t="s">
        <v>169</v>
      </c>
      <c r="F69" s="253" t="s">
        <v>84</v>
      </c>
      <c r="G69" s="254"/>
      <c r="H69" s="255"/>
      <c r="I69" s="207">
        <f ca="1">SUMIF(E1:E69, ConstStringBPA, D1:D69) + SUMIF(J1:J44, ConstStringBPA, I1:I44)</f>
        <v>0</v>
      </c>
      <c r="J69" s="144">
        <f ca="1">IF(TotalIncome = 0, 0, I69 / TotalIncome)</f>
        <v>0</v>
      </c>
      <c r="K69" s="81"/>
      <c r="L69" s="12"/>
    </row>
    <row r="70" spans="1:12" ht="17.25" customHeight="1" thickBot="1">
      <c r="A70" s="139" t="s">
        <v>5</v>
      </c>
      <c r="B70" s="148"/>
      <c r="C70" s="143"/>
      <c r="D70" s="203">
        <f ca="1">SUM(D64:D69)</f>
        <v>0</v>
      </c>
      <c r="E70" s="153">
        <f ca="1">IF(TotalIncome = 0, 0, D70 / TotalIncome)</f>
        <v>0</v>
      </c>
      <c r="F70" s="127"/>
      <c r="G70" s="127"/>
      <c r="H70" s="127"/>
      <c r="I70" s="127"/>
      <c r="J70" s="125"/>
      <c r="K70" s="81"/>
      <c r="L70" s="81"/>
    </row>
    <row r="71" spans="1:12" ht="17.25" customHeight="1" thickBot="1">
      <c r="A71" s="244" t="s">
        <v>205</v>
      </c>
      <c r="B71" s="245"/>
      <c r="C71" s="246"/>
      <c r="D71" s="161"/>
      <c r="E71" s="161"/>
      <c r="F71" s="247" t="s">
        <v>85</v>
      </c>
      <c r="G71" s="248"/>
      <c r="H71" s="249"/>
      <c r="I71" s="202">
        <f ca="1">SUMIF(E1:E69, ConstStringOSA, D1:D69) + SUMIF(J1:J44, ConstStringOSA, I1:I44)</f>
        <v>0</v>
      </c>
      <c r="J71" s="167">
        <f ca="1">IF(TotalIncome = 0, 0, I71 / TotalIncome)</f>
        <v>0</v>
      </c>
      <c r="K71" s="84"/>
      <c r="L71" s="80"/>
    </row>
    <row r="72" spans="1:12" ht="17.25" customHeight="1">
      <c r="A72" s="127"/>
      <c r="B72" s="127"/>
      <c r="C72" s="127"/>
      <c r="D72" s="127"/>
      <c r="E72" s="127"/>
      <c r="F72" s="147"/>
      <c r="G72" s="18"/>
      <c r="H72" s="147"/>
      <c r="I72" s="18"/>
      <c r="J72" s="218"/>
      <c r="K72" s="84"/>
      <c r="L72" s="80"/>
    </row>
    <row r="73" spans="1:12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81"/>
      <c r="L73" s="81"/>
    </row>
    <row r="74" spans="1:12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L74" s="15"/>
    </row>
    <row r="75" spans="1:12">
      <c r="A75" s="127"/>
      <c r="B75" s="127"/>
      <c r="C75" s="143"/>
      <c r="D75" s="127"/>
      <c r="E75" s="127"/>
      <c r="F75" s="127"/>
      <c r="G75" s="127"/>
      <c r="H75" s="127"/>
      <c r="I75" s="127"/>
      <c r="J75" s="127"/>
      <c r="L75" s="15"/>
    </row>
    <row r="76" spans="1:12" ht="17.25" customHeight="1">
      <c r="A76" s="127"/>
      <c r="B76" s="127"/>
      <c r="C76" s="127"/>
      <c r="D76" s="127"/>
      <c r="E76" s="127"/>
      <c r="F76" s="165"/>
      <c r="G76" s="166"/>
      <c r="H76" s="127"/>
      <c r="I76" s="127"/>
      <c r="J76" s="127"/>
      <c r="K76" s="12"/>
      <c r="L76" s="12"/>
    </row>
    <row r="77" spans="1:12" ht="15">
      <c r="C77" s="16"/>
      <c r="D77" s="15"/>
      <c r="F77" s="85"/>
      <c r="G77" s="86"/>
      <c r="K77" s="12"/>
      <c r="L77" s="12"/>
    </row>
    <row r="91" spans="8:8">
      <c r="H91" s="16"/>
    </row>
  </sheetData>
  <sheetProtection password="CA23" sheet="1" objects="1" scenarios="1"/>
  <protectedRanges>
    <protectedRange sqref="E29:E33 E37:E40 E54:E60 E44:E50 J9:J16 E20:E22 E64:E69 J22:J30 J33:J44" name="Range5"/>
    <protectedRange sqref="C26:C33 C37:C40 C20:C22" name="Range3"/>
    <protectedRange sqref="C9:C16" name="Range1" securityDescriptor="O:WDG:WDD:(A;;CC;;;WD)"/>
    <protectedRange sqref="B6" name="Range2"/>
    <protectedRange sqref="C54:C60 C64:C69 H9:H16 C44:C50 H20:H44" name="Range4"/>
  </protectedRanges>
  <dataConsolidate/>
  <customSheetViews>
    <customSheetView guid="{0687FE70-1080-11D7-86CA-00B0D034C2E1}" fitToPage="1" showRuler="0">
      <selection activeCell="A2" sqref="A2:J2"/>
      <pageMargins left="0.43307086614173229" right="0.43307086614173229" top="0.47244094488188981" bottom="0.94488188976377963" header="0.15748031496062992" footer="0.55118110236220474"/>
      <pageSetup paperSize="9" scale="74" orientation="portrait" horizontalDpi="4294967292" verticalDpi="360" r:id="rId1"/>
      <headerFooter alignWithMargins="0">
        <oddFooter>&amp;L&amp;F/&amp;A&amp;R&amp;D &amp;T</oddFooter>
      </headerFooter>
    </customSheetView>
  </customSheetViews>
  <mergeCells count="22">
    <mergeCell ref="A1:J1"/>
    <mergeCell ref="A2:J2"/>
    <mergeCell ref="H6:I6"/>
    <mergeCell ref="H5:I5"/>
    <mergeCell ref="F6:G6"/>
    <mergeCell ref="F5:G5"/>
    <mergeCell ref="B6:C6"/>
    <mergeCell ref="B5:C5"/>
    <mergeCell ref="F66:G66"/>
    <mergeCell ref="F67:G67"/>
    <mergeCell ref="F47:G47"/>
    <mergeCell ref="A3:B3"/>
    <mergeCell ref="A71:C71"/>
    <mergeCell ref="F71:H71"/>
    <mergeCell ref="F46:G46"/>
    <mergeCell ref="F62:G62"/>
    <mergeCell ref="F63:G63"/>
    <mergeCell ref="F69:H69"/>
    <mergeCell ref="H3:J3"/>
    <mergeCell ref="D3:F3"/>
    <mergeCell ref="F64:G64"/>
    <mergeCell ref="F65:G65"/>
  </mergeCells>
  <phoneticPr fontId="19" type="noConversion"/>
  <conditionalFormatting sqref="I46">
    <cfRule type="expression" dxfId="9" priority="1" stopIfTrue="1">
      <formula>H46&gt;TotalIncome</formula>
    </cfRule>
  </conditionalFormatting>
  <conditionalFormatting sqref="H65 I62 J64">
    <cfRule type="expression" dxfId="8" priority="2" stopIfTrue="1">
      <formula>I62&gt;TotalIncome</formula>
    </cfRule>
  </conditionalFormatting>
  <conditionalFormatting sqref="J66">
    <cfRule type="expression" dxfId="7" priority="3" stopIfTrue="1">
      <formula>J65&gt;TotalIncome</formula>
    </cfRule>
  </conditionalFormatting>
  <conditionalFormatting sqref="H48">
    <cfRule type="expression" dxfId="6" priority="4" stopIfTrue="1">
      <formula>F48&gt;TotalIncome</formula>
    </cfRule>
  </conditionalFormatting>
  <conditionalFormatting sqref="D19 D63 D53 D25 D36 D43 I49 I19 D8 I8">
    <cfRule type="cellIs" dxfId="5" priority="5" stopIfTrue="1" operator="equal">
      <formula>"No Budget"</formula>
    </cfRule>
  </conditionalFormatting>
  <conditionalFormatting sqref="J9:J16 E54:E60 E37:E40 E29:E33 E20:E22 E64:E69 J33:J44 J22:J30 E44:E50">
    <cfRule type="cellIs" dxfId="4" priority="6" stopIfTrue="1" operator="equal">
      <formula>"No Selection"</formula>
    </cfRule>
  </conditionalFormatting>
  <conditionalFormatting sqref="H46">
    <cfRule type="cellIs" dxfId="3" priority="7" stopIfTrue="1" operator="greaterThan">
      <formula>TotalIncome</formula>
    </cfRule>
  </conditionalFormatting>
  <conditionalFormatting sqref="I47">
    <cfRule type="cellIs" dxfId="2" priority="8" stopIfTrue="1" operator="lessThan">
      <formula>0</formula>
    </cfRule>
  </conditionalFormatting>
  <conditionalFormatting sqref="J62">
    <cfRule type="expression" dxfId="1" priority="9" stopIfTrue="1">
      <formula>$J$61&gt;TotalIncome</formula>
    </cfRule>
  </conditionalFormatting>
  <conditionalFormatting sqref="B6">
    <cfRule type="cellIs" dxfId="0" priority="10" stopIfTrue="1" operator="equal">
      <formula>0</formula>
    </cfRule>
  </conditionalFormatting>
  <dataValidations xWindow="649" yWindow="182" count="23">
    <dataValidation type="list" allowBlank="1" showInputMessage="1" showErrorMessage="1" errorTitle="Personal Expenses Item Frequency" error="The value entered for the frequency of this Personal Expenses item is not valid._x000a__x000a_Valid selections are available in the cell's dropdown list._x000a__x000a_Select 'Retry' to correct the value, or 'Cancel' to return to the prior value._x000a_" sqref="H20:H44">
      <formula1>ListFrequencyExpense</formula1>
    </dataValidation>
    <dataValidation type="date" operator="greaterThanOrEqual" allowBlank="1" showInputMessage="1" showErrorMessage="1" errorTitle="PMP Date" error="The value entered for PMP Date is not valid._x000a__x000a_The PMP Date must be 01-01-2002 or later._x000a_The default value is today's date._x000a__x000a_Select 'Retry' to correct the value, or 'Cancel' to return to the prior value._x000a_" sqref="H6">
      <formula1>37257</formula1>
    </dataValidation>
    <dataValidation type="list" showInputMessage="1" showErrorMessage="1" errorTitle="PMP Frequency" error="The value entered for the Budget Frequency is not valid._x000a__x000a_Valid Budget Frequency values are available in the cell's dropdown list._x000a__x000a_Select 'Retry' to correct the value, or 'Cancel' to return to the prior value._x000a_" sqref="B6">
      <formula1>ListFrequencyBudget</formula1>
    </dataValidation>
    <dataValidation allowBlank="1" sqref="I4"/>
    <dataValidation type="whole" operator="greaterThanOrEqual" allowBlank="1" showInputMessage="1" showErrorMessage="1" errorTitle="Number of Children" error="The value entered for Number of Children is not valid._x000a__x000a_The Number of Children must be a whole number greater than or equal to zero._x000a__x000a_Select 'Retry' to correct the value, or 'Cancel' to return to the prior value._x000a_" sqref="E6">
      <formula1>0</formula1>
    </dataValidation>
    <dataValidation type="whole" operator="greaterThanOrEqual" allowBlank="1" showInputMessage="1" showErrorMessage="1" errorTitle="Income Item Value" error="The value entered for this Income item is not valid._x000a__x000a_Valid values are whole numbers greater than or equal to zero._x000a__x000a_Select 'Retry' to correct the value, or 'Cancel' to return to the prior value._x000a_" sqref="B9:B16">
      <formula1>0</formula1>
    </dataValidation>
    <dataValidation type="whole" operator="greaterThanOrEqual" allowBlank="1" showInputMessage="1" showErrorMessage="1" errorTitle="Housing Expense Item Value" error="The value entered for this Housing Expense item is not valid._x000a__x000a_Valid values are whole numbers greater than or equal to zero._x000a__x000a_Select 'Retry' to correct the value, or 'Cancel' to return to the prior value._x000a_" sqref="B26:B33">
      <formula1>0</formula1>
    </dataValidation>
    <dataValidation type="whole" operator="greaterThanOrEqual" allowBlank="1" showInputMessage="1" showErrorMessage="1" errorTitle="Utilities Item Value" error="The value entered for this Utilities item is not valid._x000a__x000a_Valid values are whole numbers greater than or equal to zero._x000a__x000a_Select 'Retry' to correct the value, or 'Cancel' to return to the prior value._x000a_" sqref="B37:B40">
      <formula1>0</formula1>
    </dataValidation>
    <dataValidation type="whole" operator="greaterThanOrEqual" allowBlank="1" showInputMessage="1" showErrorMessage="1" errorTitle="Car Expenses Item Value" error="The value entered for this Car Expenses item is not valid._x000a__x000a_Valid values are whole numbers greater than or equal to zero._x000a__x000a_Select 'Retry' to correct the value, or 'Cancel' to return to the prior value._x000a_" sqref="B44:B50">
      <formula1>0</formula1>
    </dataValidation>
    <dataValidation type="whole" operator="greaterThanOrEqual" allowBlank="1" showInputMessage="1" showErrorMessage="1" errorTitle="Food Item Value" error="The value entered for this Food item is not valid._x000a__x000a_Valid values are whole numbers greater than or equal to zero._x000a__x000a_Select 'Retry' to correct the value, or 'Cancel' to return to the prior value._x000a_" sqref="B54:B60">
      <formula1>0</formula1>
    </dataValidation>
    <dataValidation type="whole" operator="greaterThanOrEqual" allowBlank="1" showInputMessage="1" showErrorMessage="1" errorTitle="Education Item Value" error="The value entered for this Education item is not valid._x000a__x000a_Valid values are whole numbers greater than or equal to zero._x000a__x000a_Select 'Retry' to correct the value, or 'Cancel' to return to the prior value._x000a_" sqref="B20:B22 B64:B69">
      <formula1>0</formula1>
    </dataValidation>
    <dataValidation type="whole" operator="greaterThanOrEqual" allowBlank="1" showInputMessage="1" showErrorMessage="1" error="The value entered for this Medical item is not valid._x000a__x000a_Valid values are whole numbers greater than or equal to zero._x000a__x000a_Select 'Retry' to correct the value, or 'Cancel' to return to the prior value._x000a_" sqref="G9:G16">
      <formula1>0</formula1>
    </dataValidation>
    <dataValidation type="whole" operator="greaterThanOrEqual" allowBlank="1" showInputMessage="1" showErrorMessage="1" errorTitle="Personal Expenses Item Value" error="The value entered for this Personal Expenses item is not valid._x000a__x000a_Valid values are whole numbers greater than or equal to zero._x000a__x000a_Select 'Retry' to correct the value, or 'Cancel' to return to the prior value._x000a_" sqref="G20:G44">
      <formula1>0</formula1>
    </dataValidation>
    <dataValidation type="whole" operator="greaterThanOrEqual" allowBlank="1" showInputMessage="1" showErrorMessage="1" errorTitle="Other Repayments Item Value" error="The value entered for this Other Repayments item is not valid._x000a__x000a_Valid values are whole numbers greater than or equal to zero._x000a__x000a_Select 'Retry' to correct the value, or 'Cancel' to return to the prior value._x000a_" sqref="H50:H60">
      <formula1>0</formula1>
    </dataValidation>
    <dataValidation type="list" allowBlank="1" showInputMessage="1" showErrorMessage="1" errorTitle="Income Item Frequency" error="The value entered for the frequency of this Income item is not valid._x000a__x000a_Valid selections are available in the cell's dropdown list._x000a__x000a_Select 'Retry' to correct the value, or 'Cancel' to return to the prior value._x000a_" sqref="C9:C16">
      <formula1>ListFrequencyIncome</formula1>
    </dataValidation>
    <dataValidation type="list" allowBlank="1" showInputMessage="1" showErrorMessage="1" errorTitle="Housing Expense Item Frequency" error="The value entered for the frequency of this Housing Expense item is not valid._x000a__x000a_Valid selections are available in the cell's dropdown list._x000a__x000a_Select 'Retry' to correct the value, or 'Cancel' to return to the prior value._x000a_" sqref="C26:C33 C20:C22">
      <formula1>ListFrequencyExpense</formula1>
    </dataValidation>
    <dataValidation type="list" allowBlank="1" showInputMessage="1" showErrorMessage="1" errorTitle="Utilities Item Frequency" error="The value entered for the frequency of this Utilities item is not valid._x000a__x000a_Valid selections are available in the cell's dropdown list._x000a__x000a_Select 'Retry' to correct the value, or 'Cancel' to return to the prior value._x000a_" sqref="C37:C40">
      <formula1>ListFrequencyExpense</formula1>
    </dataValidation>
    <dataValidation type="list" allowBlank="1" showInputMessage="1" showErrorMessage="1" errorTitle="Car Expense Item Frequency" error="The value entered for the frequency of this Car Expense item is not valid._x000a__x000a_Valid selections are available in the cell's dropdown list._x000a__x000a_Select 'Retry' to correct the value, or 'Cancel' to return to the prior value._x000a_" sqref="C44:C50">
      <formula1>ListFrequencyExpense</formula1>
    </dataValidation>
    <dataValidation type="list" allowBlank="1" showInputMessage="1" showErrorMessage="1" errorTitle="Food Item Frequency" error="The value entered for the frequency of this Food item is not valid._x000a__x000a_Valid selections are available in the cell's dropdown list._x000a__x000a_Select 'Retry' to correct the value, or 'Cancel' to return to the prior value._x000a_" sqref="C54:C60">
      <formula1>ListFrequencyExpense</formula1>
    </dataValidation>
    <dataValidation type="list" allowBlank="1" showInputMessage="1" showErrorMessage="1" errorTitle="Education Item Frequency" error="The value entered for the frequency of this Education item is not valid._x000a__x000a_Valid selections are available in the cell's dropdown list._x000a__x000a_Select 'Retry' to correct the value, or 'Cancel' to return to the prior value._x000a_" sqref="C64:C69">
      <formula1>ListFrequencyExpense</formula1>
    </dataValidation>
    <dataValidation type="list" allowBlank="1" showInputMessage="1" showErrorMessage="1" errorTitle="Medical Item Frequency" error="The value entered for the frequency of this Medical item is not valid._x000a__x000a_Valid selections are available in the cell's dropdown list._x000a__x000a_Select 'Retry' to correct the value, or 'Cancel' to return to the prior value._x000a_" sqref="H9:H16">
      <formula1>ListFrequencyExpense</formula1>
    </dataValidation>
    <dataValidation type="list" allowBlank="1" showInputMessage="1" showErrorMessage="1" errorTitle="OSA/BSA Selection" error="The value entered for OSA/BSA for this item is not valid._x000a__x000a_Valid selections are available in the cell's dropdown list._x000a__x000a_Select 'Retry' to correct the value, or 'Cancel' to return to the prior value._x000a_" sqref="J9:J16 E54:E60 E37:E40 E20:E22 E29:E33 E64:E69 J33:J44 J22:J30 E44:E50">
      <formula1>ListBpaOsa</formula1>
    </dataValidation>
    <dataValidation showInputMessage="1" sqref="F6"/>
  </dataValidations>
  <pageMargins left="0.43307086614173229" right="0.17" top="0.28999999999999998" bottom="0.46" header="0.25" footer="0.27"/>
  <pageSetup paperSize="9" scale="73" orientation="portrait" r:id="rId2"/>
  <headerFooter alignWithMargins="0">
    <oddFooter>&amp;L&amp;F/&amp;A&amp;R&amp;D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6"/>
  <sheetViews>
    <sheetView zoomScale="7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Z16" sqref="Z16"/>
    </sheetView>
  </sheetViews>
  <sheetFormatPr defaultRowHeight="12.75"/>
  <cols>
    <col min="1" max="1" width="3.7109375" customWidth="1"/>
    <col min="2" max="4" width="13.7109375" customWidth="1"/>
    <col min="5" max="5" width="17.7109375" customWidth="1"/>
    <col min="6" max="6" width="10.7109375" customWidth="1"/>
    <col min="7" max="7" width="25.7109375" customWidth="1"/>
    <col min="8" max="8" width="10.7109375" customWidth="1"/>
    <col min="9" max="9" width="12.7109375" customWidth="1"/>
    <col min="10" max="12" width="10.7109375" customWidth="1"/>
    <col min="13" max="13" width="12.7109375" customWidth="1"/>
    <col min="14" max="16" width="10.7109375" customWidth="1"/>
  </cols>
  <sheetData>
    <row r="1" spans="1:19" ht="24.95" customHeight="1" thickBot="1">
      <c r="A1" s="261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8"/>
    </row>
    <row r="2" spans="1:19" ht="20.100000000000001" customHeight="1" thickBot="1">
      <c r="A2" s="101"/>
      <c r="B2" s="363" t="s">
        <v>191</v>
      </c>
      <c r="C2" s="364"/>
      <c r="D2" s="364"/>
      <c r="E2" s="365"/>
      <c r="F2" s="102"/>
      <c r="G2" s="175"/>
      <c r="H2" s="176"/>
      <c r="I2" s="176"/>
      <c r="J2" s="176"/>
      <c r="K2" s="104"/>
      <c r="L2" s="102"/>
      <c r="M2" s="366"/>
      <c r="N2" s="366"/>
      <c r="O2" s="308" t="s">
        <v>120</v>
      </c>
      <c r="P2" s="309"/>
      <c r="Q2" s="310"/>
      <c r="R2" s="311"/>
      <c r="S2" s="170"/>
    </row>
    <row r="3" spans="1:19" ht="24.95" customHeight="1" thickBot="1">
      <c r="A3" s="101"/>
      <c r="B3" s="367">
        <f>'Financial Organiser'!F6</f>
        <v>0</v>
      </c>
      <c r="C3" s="368"/>
      <c r="D3" s="368"/>
      <c r="E3" s="369"/>
      <c r="F3" s="105"/>
      <c r="G3" s="169"/>
      <c r="H3" s="372" t="s">
        <v>204</v>
      </c>
      <c r="I3" s="373"/>
      <c r="J3" s="374"/>
      <c r="K3" s="106"/>
      <c r="L3" s="106"/>
      <c r="M3" s="370"/>
      <c r="N3" s="371"/>
      <c r="O3" s="312">
        <f>BudgetDate</f>
        <v>43343</v>
      </c>
      <c r="P3" s="313"/>
      <c r="Q3" s="314"/>
      <c r="R3" s="315"/>
      <c r="S3" s="170"/>
    </row>
    <row r="4" spans="1:19" ht="8.1" customHeight="1" thickBot="1">
      <c r="A4" s="101"/>
      <c r="B4" s="105"/>
      <c r="C4" s="105"/>
      <c r="D4" s="105"/>
      <c r="E4" s="105"/>
      <c r="F4" s="105"/>
      <c r="G4" s="105"/>
      <c r="H4" s="105"/>
      <c r="I4" s="105"/>
      <c r="J4" s="106"/>
      <c r="K4" s="106"/>
      <c r="L4" s="105"/>
      <c r="M4" s="103"/>
      <c r="N4" s="106"/>
      <c r="O4" s="106"/>
      <c r="P4" s="106"/>
      <c r="Q4" s="105"/>
      <c r="R4" s="105"/>
      <c r="S4" s="170"/>
    </row>
    <row r="5" spans="1:19" ht="13.5" customHeight="1">
      <c r="A5" s="362" t="s">
        <v>203</v>
      </c>
      <c r="B5" s="346"/>
      <c r="C5" s="346"/>
      <c r="D5" s="347"/>
      <c r="E5" s="114" t="s">
        <v>170</v>
      </c>
      <c r="F5" s="114" t="s">
        <v>171</v>
      </c>
      <c r="G5" s="114" t="s">
        <v>172</v>
      </c>
      <c r="H5" s="112" t="s">
        <v>173</v>
      </c>
      <c r="I5" s="114" t="s">
        <v>170</v>
      </c>
      <c r="J5" s="113" t="s">
        <v>174</v>
      </c>
      <c r="K5" s="114" t="s">
        <v>53</v>
      </c>
      <c r="L5" s="114" t="s">
        <v>175</v>
      </c>
      <c r="M5" s="114" t="s">
        <v>176</v>
      </c>
      <c r="N5" s="114" t="s">
        <v>177</v>
      </c>
      <c r="O5" s="114" t="s">
        <v>53</v>
      </c>
      <c r="P5" s="112" t="s">
        <v>194</v>
      </c>
      <c r="Q5" s="376" t="s">
        <v>188</v>
      </c>
      <c r="R5" s="377"/>
      <c r="S5" s="378"/>
    </row>
    <row r="6" spans="1:19" ht="13.5" thickBot="1">
      <c r="A6" s="399"/>
      <c r="B6" s="400"/>
      <c r="C6" s="400"/>
      <c r="D6" s="401"/>
      <c r="E6" s="115" t="s">
        <v>178</v>
      </c>
      <c r="F6" s="115" t="s">
        <v>179</v>
      </c>
      <c r="G6" s="116"/>
      <c r="H6" s="117" t="s">
        <v>180</v>
      </c>
      <c r="I6" s="115" t="s">
        <v>181</v>
      </c>
      <c r="J6" s="118"/>
      <c r="K6" s="115" t="s">
        <v>182</v>
      </c>
      <c r="L6" s="116"/>
      <c r="M6" s="115" t="s">
        <v>183</v>
      </c>
      <c r="N6" s="115" t="s">
        <v>182</v>
      </c>
      <c r="O6" s="115" t="s">
        <v>171</v>
      </c>
      <c r="P6" s="115" t="s">
        <v>193</v>
      </c>
      <c r="Q6" s="379"/>
      <c r="R6" s="380"/>
      <c r="S6" s="381"/>
    </row>
    <row r="7" spans="1:19" ht="12.75" customHeight="1">
      <c r="A7" s="375">
        <v>1</v>
      </c>
      <c r="B7" s="431">
        <f>'Financial Organiser'!F50</f>
        <v>0</v>
      </c>
      <c r="C7" s="431"/>
      <c r="D7" s="432"/>
      <c r="E7" s="287"/>
      <c r="F7" s="386"/>
      <c r="G7" s="390"/>
      <c r="H7" s="388"/>
      <c r="I7" s="382">
        <f>'Financial Organiser'!G50</f>
        <v>0</v>
      </c>
      <c r="J7" s="302">
        <v>2500</v>
      </c>
      <c r="K7" s="384">
        <f>'Financial Organiser'!H50</f>
        <v>0</v>
      </c>
      <c r="L7" s="352"/>
      <c r="M7" s="302"/>
      <c r="N7" s="328">
        <f>IF(ProRataBalance&lt;&gt;0, SurplusAvailable/ProRataBalance*M7, 0)</f>
        <v>0</v>
      </c>
      <c r="O7" s="324">
        <f>I7*F7/12</f>
        <v>0</v>
      </c>
      <c r="P7" s="294">
        <f>IF(N7 + L7 &lt;&gt; 0, I7 / (N7 +L7), 0)</f>
        <v>0</v>
      </c>
      <c r="Q7" s="359"/>
      <c r="R7" s="360"/>
      <c r="S7" s="361"/>
    </row>
    <row r="8" spans="1:19" ht="12.75" customHeight="1">
      <c r="A8" s="297"/>
      <c r="B8" s="285"/>
      <c r="C8" s="285"/>
      <c r="D8" s="286"/>
      <c r="E8" s="288"/>
      <c r="F8" s="387"/>
      <c r="G8" s="391"/>
      <c r="H8" s="389"/>
      <c r="I8" s="383"/>
      <c r="J8" s="303"/>
      <c r="K8" s="385"/>
      <c r="L8" s="353"/>
      <c r="M8" s="303"/>
      <c r="N8" s="329"/>
      <c r="O8" s="325"/>
      <c r="P8" s="295"/>
      <c r="Q8" s="319"/>
      <c r="R8" s="320"/>
      <c r="S8" s="321"/>
    </row>
    <row r="9" spans="1:19" ht="12.75" customHeight="1">
      <c r="A9" s="296">
        <v>2</v>
      </c>
      <c r="B9" s="304">
        <f>'Financial Organiser'!F51</f>
        <v>0</v>
      </c>
      <c r="C9" s="304"/>
      <c r="D9" s="305"/>
      <c r="E9" s="394"/>
      <c r="F9" s="392"/>
      <c r="G9" s="279"/>
      <c r="H9" s="393"/>
      <c r="I9" s="384">
        <f>'Financial Organiser'!G51</f>
        <v>0</v>
      </c>
      <c r="J9" s="301"/>
      <c r="K9" s="384">
        <f>'Financial Organiser'!H51</f>
        <v>0</v>
      </c>
      <c r="L9" s="396"/>
      <c r="M9" s="301"/>
      <c r="N9" s="328">
        <f>IF(ProRataBalance&lt;&gt;0, SurplusAvailable/ProRataBalance*M9, 0)</f>
        <v>0</v>
      </c>
      <c r="O9" s="354">
        <f>I9*F9/12</f>
        <v>0</v>
      </c>
      <c r="P9" s="294">
        <f>IF(N9 + L9 &lt;&gt; 0, I9 / (N9 +L9), 0)</f>
        <v>0</v>
      </c>
      <c r="Q9" s="316"/>
      <c r="R9" s="317"/>
      <c r="S9" s="318"/>
    </row>
    <row r="10" spans="1:19" ht="12.75" customHeight="1">
      <c r="A10" s="297"/>
      <c r="B10" s="285"/>
      <c r="C10" s="285"/>
      <c r="D10" s="286"/>
      <c r="E10" s="288"/>
      <c r="F10" s="290"/>
      <c r="G10" s="280"/>
      <c r="H10" s="389"/>
      <c r="I10" s="385"/>
      <c r="J10" s="303"/>
      <c r="K10" s="385"/>
      <c r="L10" s="353"/>
      <c r="M10" s="303"/>
      <c r="N10" s="329"/>
      <c r="O10" s="325"/>
      <c r="P10" s="295"/>
      <c r="Q10" s="319"/>
      <c r="R10" s="320"/>
      <c r="S10" s="321"/>
    </row>
    <row r="11" spans="1:19" ht="12.75" customHeight="1">
      <c r="A11" s="296">
        <v>3</v>
      </c>
      <c r="B11" s="304">
        <f>'Financial Organiser'!F52</f>
        <v>0</v>
      </c>
      <c r="C11" s="304"/>
      <c r="D11" s="305"/>
      <c r="E11" s="394"/>
      <c r="F11" s="392"/>
      <c r="G11" s="395"/>
      <c r="H11" s="393"/>
      <c r="I11" s="384">
        <f>'Financial Organiser'!G52</f>
        <v>0</v>
      </c>
      <c r="J11" s="301"/>
      <c r="K11" s="384">
        <f>'Financial Organiser'!H52</f>
        <v>0</v>
      </c>
      <c r="L11" s="396"/>
      <c r="M11" s="301"/>
      <c r="N11" s="328">
        <f>IF(ProRataBalance&lt;&gt;0, SurplusAvailable/ProRataBalance*M11, 0)</f>
        <v>0</v>
      </c>
      <c r="O11" s="354">
        <f>I11*F11/12</f>
        <v>0</v>
      </c>
      <c r="P11" s="294">
        <f>IF(N11 + L11 &lt;&gt; 0, I11 / (N11 +L11), 0)</f>
        <v>0</v>
      </c>
      <c r="Q11" s="316"/>
      <c r="R11" s="317"/>
      <c r="S11" s="318"/>
    </row>
    <row r="12" spans="1:19" ht="12.75" customHeight="1">
      <c r="A12" s="297"/>
      <c r="B12" s="285"/>
      <c r="C12" s="285"/>
      <c r="D12" s="286"/>
      <c r="E12" s="288"/>
      <c r="F12" s="290"/>
      <c r="G12" s="280"/>
      <c r="H12" s="389"/>
      <c r="I12" s="385"/>
      <c r="J12" s="303"/>
      <c r="K12" s="385"/>
      <c r="L12" s="353"/>
      <c r="M12" s="303"/>
      <c r="N12" s="329"/>
      <c r="O12" s="325"/>
      <c r="P12" s="295"/>
      <c r="Q12" s="319"/>
      <c r="R12" s="320"/>
      <c r="S12" s="321"/>
    </row>
    <row r="13" spans="1:19" ht="12.75" customHeight="1">
      <c r="A13" s="296">
        <v>4</v>
      </c>
      <c r="B13" s="304">
        <f>'Financial Organiser'!F53</f>
        <v>0</v>
      </c>
      <c r="C13" s="304"/>
      <c r="D13" s="305"/>
      <c r="E13" s="394"/>
      <c r="F13" s="392"/>
      <c r="G13" s="279"/>
      <c r="H13" s="301" t="s">
        <v>6</v>
      </c>
      <c r="I13" s="384">
        <f>'Financial Organiser'!G53</f>
        <v>0</v>
      </c>
      <c r="J13" s="301"/>
      <c r="K13" s="384">
        <f>'Financial Organiser'!H53</f>
        <v>0</v>
      </c>
      <c r="L13" s="396"/>
      <c r="M13" s="301"/>
      <c r="N13" s="328">
        <f>IF(ProRataBalance&lt;&gt;0, SurplusAvailable/ProRataBalance*M13, 0)</f>
        <v>0</v>
      </c>
      <c r="O13" s="354">
        <f>I13*F13/12</f>
        <v>0</v>
      </c>
      <c r="P13" s="294">
        <f>IF(N13 + L13 &lt;&gt; 0, I13 / (N13 +L13), 0)</f>
        <v>0</v>
      </c>
      <c r="Q13" s="316"/>
      <c r="R13" s="322"/>
      <c r="S13" s="323"/>
    </row>
    <row r="14" spans="1:19" ht="12.75" customHeight="1">
      <c r="A14" s="297"/>
      <c r="B14" s="285"/>
      <c r="C14" s="285"/>
      <c r="D14" s="286"/>
      <c r="E14" s="288"/>
      <c r="F14" s="290"/>
      <c r="G14" s="280"/>
      <c r="H14" s="303"/>
      <c r="I14" s="385"/>
      <c r="J14" s="303"/>
      <c r="K14" s="385"/>
      <c r="L14" s="353"/>
      <c r="M14" s="303"/>
      <c r="N14" s="329"/>
      <c r="O14" s="325"/>
      <c r="P14" s="295"/>
      <c r="Q14" s="319"/>
      <c r="R14" s="320"/>
      <c r="S14" s="321"/>
    </row>
    <row r="15" spans="1:19" ht="12.75" customHeight="1">
      <c r="A15" s="296">
        <v>5</v>
      </c>
      <c r="B15" s="304">
        <f>'Financial Organiser'!F54</f>
        <v>0</v>
      </c>
      <c r="C15" s="304"/>
      <c r="D15" s="305"/>
      <c r="E15" s="394"/>
      <c r="F15" s="392"/>
      <c r="G15" s="279"/>
      <c r="H15" s="301"/>
      <c r="I15" s="384">
        <f>'Financial Organiser'!G54</f>
        <v>0</v>
      </c>
      <c r="J15" s="301"/>
      <c r="K15" s="384">
        <f>'Financial Organiser'!H54</f>
        <v>0</v>
      </c>
      <c r="L15" s="396"/>
      <c r="M15" s="301"/>
      <c r="N15" s="328">
        <f>IF(ProRataBalance&lt;&gt;0, SurplusAvailable/ProRataBalance*M15, 0)</f>
        <v>0</v>
      </c>
      <c r="O15" s="354">
        <f>I15*F15/12</f>
        <v>0</v>
      </c>
      <c r="P15" s="294">
        <f>IF(N15 + L15 &lt;&gt; 0, I15 / (N15 +L15), 0)</f>
        <v>0</v>
      </c>
      <c r="Q15" s="316"/>
      <c r="R15" s="317"/>
      <c r="S15" s="318"/>
    </row>
    <row r="16" spans="1:19" ht="12.75" customHeight="1">
      <c r="A16" s="297"/>
      <c r="B16" s="285"/>
      <c r="C16" s="285"/>
      <c r="D16" s="286"/>
      <c r="E16" s="288"/>
      <c r="F16" s="290"/>
      <c r="G16" s="280"/>
      <c r="H16" s="303"/>
      <c r="I16" s="385"/>
      <c r="J16" s="303"/>
      <c r="K16" s="385"/>
      <c r="L16" s="353"/>
      <c r="M16" s="303"/>
      <c r="N16" s="329"/>
      <c r="O16" s="325"/>
      <c r="P16" s="295"/>
      <c r="Q16" s="319"/>
      <c r="R16" s="320"/>
      <c r="S16" s="321"/>
    </row>
    <row r="17" spans="1:19" ht="12.75" customHeight="1">
      <c r="A17" s="296">
        <v>6</v>
      </c>
      <c r="B17" s="304">
        <f>'Financial Organiser'!F55</f>
        <v>0</v>
      </c>
      <c r="C17" s="304"/>
      <c r="D17" s="305"/>
      <c r="E17" s="394"/>
      <c r="F17" s="392"/>
      <c r="G17" s="279"/>
      <c r="H17" s="301"/>
      <c r="I17" s="384">
        <f>'Financial Organiser'!G55</f>
        <v>0</v>
      </c>
      <c r="J17" s="301"/>
      <c r="K17" s="384">
        <f>'Financial Organiser'!H55</f>
        <v>0</v>
      </c>
      <c r="L17" s="396"/>
      <c r="M17" s="301"/>
      <c r="N17" s="328">
        <f>IF(ProRataBalance&lt;&gt;0, SurplusAvailable/ProRataBalance*M17, 0)</f>
        <v>0</v>
      </c>
      <c r="O17" s="354">
        <f>I17*F17/12</f>
        <v>0</v>
      </c>
      <c r="P17" s="294">
        <f>IF(N17 + L17 &lt;&gt; 0, I17 / (N17 +L17), 0)</f>
        <v>0</v>
      </c>
      <c r="Q17" s="316"/>
      <c r="R17" s="317"/>
      <c r="S17" s="318"/>
    </row>
    <row r="18" spans="1:19" ht="12.75" customHeight="1">
      <c r="A18" s="297"/>
      <c r="B18" s="285"/>
      <c r="C18" s="285"/>
      <c r="D18" s="286"/>
      <c r="E18" s="288"/>
      <c r="F18" s="290"/>
      <c r="G18" s="280"/>
      <c r="H18" s="303"/>
      <c r="I18" s="385"/>
      <c r="J18" s="303"/>
      <c r="K18" s="385"/>
      <c r="L18" s="353"/>
      <c r="M18" s="303"/>
      <c r="N18" s="329"/>
      <c r="O18" s="325"/>
      <c r="P18" s="295"/>
      <c r="Q18" s="319"/>
      <c r="R18" s="320"/>
      <c r="S18" s="321"/>
    </row>
    <row r="19" spans="1:19" ht="12.75" customHeight="1">
      <c r="A19" s="296">
        <v>7</v>
      </c>
      <c r="B19" s="304">
        <f>'Financial Organiser'!F56</f>
        <v>0</v>
      </c>
      <c r="C19" s="304"/>
      <c r="D19" s="305"/>
      <c r="E19" s="394"/>
      <c r="F19" s="392"/>
      <c r="G19" s="279"/>
      <c r="H19" s="301"/>
      <c r="I19" s="384">
        <f>'Financial Organiser'!G56</f>
        <v>0</v>
      </c>
      <c r="J19" s="301"/>
      <c r="K19" s="384">
        <f>'Financial Organiser'!H56</f>
        <v>0</v>
      </c>
      <c r="L19" s="396"/>
      <c r="M19" s="301"/>
      <c r="N19" s="328">
        <f>IF(ProRataBalance&lt;&gt;0, SurplusAvailable/ProRataBalance*M19, 0)</f>
        <v>0</v>
      </c>
      <c r="O19" s="354">
        <f>I19*F19/12</f>
        <v>0</v>
      </c>
      <c r="P19" s="294">
        <f>IF(N19 + L19 &lt;&gt; 0, I19 / (N19 +L19), 0)</f>
        <v>0</v>
      </c>
      <c r="Q19" s="316"/>
      <c r="R19" s="317"/>
      <c r="S19" s="318"/>
    </row>
    <row r="20" spans="1:19" ht="12.75" customHeight="1">
      <c r="A20" s="297"/>
      <c r="B20" s="285"/>
      <c r="C20" s="285"/>
      <c r="D20" s="286"/>
      <c r="E20" s="288"/>
      <c r="F20" s="290"/>
      <c r="G20" s="280"/>
      <c r="H20" s="303"/>
      <c r="I20" s="385"/>
      <c r="J20" s="303"/>
      <c r="K20" s="385"/>
      <c r="L20" s="353"/>
      <c r="M20" s="303"/>
      <c r="N20" s="329"/>
      <c r="O20" s="325"/>
      <c r="P20" s="295"/>
      <c r="Q20" s="319"/>
      <c r="R20" s="320"/>
      <c r="S20" s="321"/>
    </row>
    <row r="21" spans="1:19" ht="12.75" customHeight="1">
      <c r="A21" s="296">
        <v>8</v>
      </c>
      <c r="B21" s="304">
        <f>'Financial Organiser'!F57</f>
        <v>0</v>
      </c>
      <c r="C21" s="304"/>
      <c r="D21" s="305"/>
      <c r="E21" s="394"/>
      <c r="F21" s="392"/>
      <c r="G21" s="279"/>
      <c r="H21" s="301"/>
      <c r="I21" s="384">
        <f>'Financial Organiser'!G57</f>
        <v>0</v>
      </c>
      <c r="J21" s="301"/>
      <c r="K21" s="384">
        <f>'Financial Organiser'!H57</f>
        <v>0</v>
      </c>
      <c r="L21" s="396"/>
      <c r="M21" s="301"/>
      <c r="N21" s="328">
        <f>IF(ProRataBalance&lt;&gt;0, SurplusAvailable/ProRataBalance*M21, 0)</f>
        <v>0</v>
      </c>
      <c r="O21" s="354">
        <f>I21*F21/12</f>
        <v>0</v>
      </c>
      <c r="P21" s="294">
        <f>IF(N21 + L21 &lt;&gt; 0, I21 / (N21 +L21), 0)</f>
        <v>0</v>
      </c>
      <c r="Q21" s="316"/>
      <c r="R21" s="317"/>
      <c r="S21" s="318"/>
    </row>
    <row r="22" spans="1:19" ht="12.75" customHeight="1">
      <c r="A22" s="297"/>
      <c r="B22" s="285"/>
      <c r="C22" s="285"/>
      <c r="D22" s="286"/>
      <c r="E22" s="288"/>
      <c r="F22" s="290"/>
      <c r="G22" s="280"/>
      <c r="H22" s="303"/>
      <c r="I22" s="385"/>
      <c r="J22" s="303"/>
      <c r="K22" s="385"/>
      <c r="L22" s="353"/>
      <c r="M22" s="303"/>
      <c r="N22" s="329"/>
      <c r="O22" s="325"/>
      <c r="P22" s="295"/>
      <c r="Q22" s="319"/>
      <c r="R22" s="320"/>
      <c r="S22" s="321"/>
    </row>
    <row r="23" spans="1:19" ht="12.75" customHeight="1">
      <c r="A23" s="296">
        <v>9</v>
      </c>
      <c r="B23" s="304">
        <f>'Financial Organiser'!F58</f>
        <v>0</v>
      </c>
      <c r="C23" s="304"/>
      <c r="D23" s="305"/>
      <c r="E23" s="394"/>
      <c r="F23" s="392"/>
      <c r="G23" s="279"/>
      <c r="H23" s="301"/>
      <c r="I23" s="384">
        <f>'Financial Organiser'!G58</f>
        <v>0</v>
      </c>
      <c r="J23" s="301"/>
      <c r="K23" s="384">
        <f>'Financial Organiser'!H58</f>
        <v>0</v>
      </c>
      <c r="L23" s="396"/>
      <c r="M23" s="301"/>
      <c r="N23" s="328">
        <f>IF(ProRataBalance&lt;&gt;0, SurplusAvailable/ProRataBalance*M23, 0)</f>
        <v>0</v>
      </c>
      <c r="O23" s="354">
        <f>I23*F23/12</f>
        <v>0</v>
      </c>
      <c r="P23" s="294">
        <f>IF(N23 + L23 &lt;&gt; 0, I23 / (N23 +L23), 0)</f>
        <v>0</v>
      </c>
      <c r="Q23" s="316"/>
      <c r="R23" s="317"/>
      <c r="S23" s="318"/>
    </row>
    <row r="24" spans="1:19" ht="12.75" customHeight="1">
      <c r="A24" s="297"/>
      <c r="B24" s="285"/>
      <c r="C24" s="285"/>
      <c r="D24" s="286"/>
      <c r="E24" s="288"/>
      <c r="F24" s="290"/>
      <c r="G24" s="280"/>
      <c r="H24" s="303"/>
      <c r="I24" s="385"/>
      <c r="J24" s="303"/>
      <c r="K24" s="385"/>
      <c r="L24" s="353"/>
      <c r="M24" s="303"/>
      <c r="N24" s="329"/>
      <c r="O24" s="325"/>
      <c r="P24" s="295"/>
      <c r="Q24" s="319"/>
      <c r="R24" s="320"/>
      <c r="S24" s="321"/>
    </row>
    <row r="25" spans="1:19" ht="12.75" customHeight="1">
      <c r="A25" s="296">
        <v>10</v>
      </c>
      <c r="B25" s="304">
        <f>'Financial Organiser'!F59</f>
        <v>0</v>
      </c>
      <c r="C25" s="304"/>
      <c r="D25" s="305"/>
      <c r="E25" s="394"/>
      <c r="F25" s="392"/>
      <c r="G25" s="279"/>
      <c r="H25" s="301"/>
      <c r="I25" s="384">
        <f>'Financial Organiser'!G59</f>
        <v>0</v>
      </c>
      <c r="J25" s="301"/>
      <c r="K25" s="384">
        <f>'Financial Organiser'!H59</f>
        <v>0</v>
      </c>
      <c r="L25" s="396"/>
      <c r="M25" s="301"/>
      <c r="N25" s="328">
        <f>IF(ProRataBalance&lt;&gt;0, SurplusAvailable/ProRataBalance*M25, 0)</f>
        <v>0</v>
      </c>
      <c r="O25" s="354">
        <f>I25*F25/12</f>
        <v>0</v>
      </c>
      <c r="P25" s="294">
        <f>IF(N25 + L25 &lt;&gt; 0, I25 / (N25 +L25), 0)</f>
        <v>0</v>
      </c>
      <c r="Q25" s="316"/>
      <c r="R25" s="317"/>
      <c r="S25" s="318"/>
    </row>
    <row r="26" spans="1:19" ht="12.75" customHeight="1">
      <c r="A26" s="297"/>
      <c r="B26" s="285"/>
      <c r="C26" s="285"/>
      <c r="D26" s="286"/>
      <c r="E26" s="288"/>
      <c r="F26" s="290"/>
      <c r="G26" s="280"/>
      <c r="H26" s="303"/>
      <c r="I26" s="385"/>
      <c r="J26" s="303"/>
      <c r="K26" s="385"/>
      <c r="L26" s="353"/>
      <c r="M26" s="303"/>
      <c r="N26" s="329"/>
      <c r="O26" s="325"/>
      <c r="P26" s="295"/>
      <c r="Q26" s="319"/>
      <c r="R26" s="320"/>
      <c r="S26" s="321"/>
    </row>
    <row r="27" spans="1:19" ht="12.75" customHeight="1">
      <c r="A27" s="296">
        <v>11</v>
      </c>
      <c r="B27" s="306">
        <f>'Financial Organiser'!F60</f>
        <v>0</v>
      </c>
      <c r="C27" s="306"/>
      <c r="D27" s="307"/>
      <c r="E27" s="394"/>
      <c r="F27" s="392"/>
      <c r="G27" s="279"/>
      <c r="H27" s="301"/>
      <c r="I27" s="299">
        <f>'Financial Organiser'!G60</f>
        <v>0</v>
      </c>
      <c r="J27" s="301"/>
      <c r="K27" s="299">
        <f>'Financial Organiser'!H60</f>
        <v>0</v>
      </c>
      <c r="L27" s="396"/>
      <c r="M27" s="301"/>
      <c r="N27" s="328">
        <f>IF(ProRataBalance&lt;&gt;0, SurplusAvailable/ProRataBalance*M27, 0)</f>
        <v>0</v>
      </c>
      <c r="O27" s="354">
        <f>I27*F27/12</f>
        <v>0</v>
      </c>
      <c r="P27" s="294">
        <f>IF(N27 + L27 &lt;&gt; 0, I27 / (N27 +L27), 0)</f>
        <v>0</v>
      </c>
      <c r="Q27" s="316"/>
      <c r="R27" s="317"/>
      <c r="S27" s="318"/>
    </row>
    <row r="28" spans="1:19" ht="12.75" customHeight="1">
      <c r="A28" s="298"/>
      <c r="B28" s="285"/>
      <c r="C28" s="285"/>
      <c r="D28" s="286"/>
      <c r="E28" s="287"/>
      <c r="F28" s="289"/>
      <c r="G28" s="280"/>
      <c r="H28" s="302"/>
      <c r="I28" s="300"/>
      <c r="J28" s="302"/>
      <c r="K28" s="300"/>
      <c r="L28" s="352"/>
      <c r="M28" s="302"/>
      <c r="N28" s="329"/>
      <c r="O28" s="324"/>
      <c r="P28" s="295"/>
      <c r="Q28" s="359"/>
      <c r="R28" s="360"/>
      <c r="S28" s="361"/>
    </row>
    <row r="29" spans="1:19" ht="12.75" customHeight="1">
      <c r="A29" s="296">
        <v>12</v>
      </c>
      <c r="B29" s="291"/>
      <c r="C29" s="292"/>
      <c r="D29" s="293"/>
      <c r="E29" s="394"/>
      <c r="F29" s="392"/>
      <c r="G29" s="279"/>
      <c r="H29" s="301"/>
      <c r="I29" s="301"/>
      <c r="J29" s="301"/>
      <c r="K29" s="301"/>
      <c r="L29" s="396"/>
      <c r="M29" s="301"/>
      <c r="N29" s="328">
        <f>IF(ProRataBalance&lt;&gt;0, SurplusAvailable/ProRataBalance*M29, 0)</f>
        <v>0</v>
      </c>
      <c r="O29" s="354">
        <f>I29*F29/12</f>
        <v>0</v>
      </c>
      <c r="P29" s="294">
        <f>IF(N29 + L29 &lt;&gt; 0, I29 / (N29 +L29), 0)</f>
        <v>0</v>
      </c>
      <c r="Q29" s="316"/>
      <c r="R29" s="317"/>
      <c r="S29" s="318"/>
    </row>
    <row r="30" spans="1:19" ht="12.75" customHeight="1">
      <c r="A30" s="297"/>
      <c r="B30" s="285"/>
      <c r="C30" s="285"/>
      <c r="D30" s="286"/>
      <c r="E30" s="288"/>
      <c r="F30" s="398"/>
      <c r="G30" s="280"/>
      <c r="H30" s="303"/>
      <c r="I30" s="303"/>
      <c r="J30" s="303"/>
      <c r="K30" s="303"/>
      <c r="L30" s="353"/>
      <c r="M30" s="303"/>
      <c r="N30" s="329"/>
      <c r="O30" s="324"/>
      <c r="P30" s="295"/>
      <c r="Q30" s="319"/>
      <c r="R30" s="320"/>
      <c r="S30" s="321"/>
    </row>
    <row r="31" spans="1:19" ht="12.75" customHeight="1">
      <c r="A31" s="296">
        <v>13</v>
      </c>
      <c r="B31" s="291"/>
      <c r="C31" s="292"/>
      <c r="D31" s="293"/>
      <c r="E31" s="394"/>
      <c r="F31" s="392"/>
      <c r="G31" s="279"/>
      <c r="H31" s="301"/>
      <c r="I31" s="301"/>
      <c r="J31" s="301"/>
      <c r="K31" s="301"/>
      <c r="L31" s="396"/>
      <c r="M31" s="301"/>
      <c r="N31" s="328">
        <f>IF(ProRataBalance&lt;&gt;0, SurplusAvailable/ProRataBalance*M31, 0)</f>
        <v>0</v>
      </c>
      <c r="O31" s="354">
        <f>I31*F31/12</f>
        <v>0</v>
      </c>
      <c r="P31" s="294">
        <f>IF(N31 + L31 &lt;&gt; 0, I31 / (N31 +L31), 0)</f>
        <v>0</v>
      </c>
      <c r="Q31" s="316"/>
      <c r="R31" s="317"/>
      <c r="S31" s="318"/>
    </row>
    <row r="32" spans="1:19" ht="12.75" customHeight="1">
      <c r="A32" s="297"/>
      <c r="B32" s="285"/>
      <c r="C32" s="285"/>
      <c r="D32" s="286"/>
      <c r="E32" s="288"/>
      <c r="F32" s="398"/>
      <c r="G32" s="280"/>
      <c r="H32" s="303"/>
      <c r="I32" s="303"/>
      <c r="J32" s="303"/>
      <c r="K32" s="303"/>
      <c r="L32" s="353"/>
      <c r="M32" s="303"/>
      <c r="N32" s="329"/>
      <c r="O32" s="324"/>
      <c r="P32" s="295"/>
      <c r="Q32" s="319"/>
      <c r="R32" s="320"/>
      <c r="S32" s="321"/>
    </row>
    <row r="33" spans="1:19" ht="12.75" customHeight="1">
      <c r="A33" s="296">
        <v>14</v>
      </c>
      <c r="B33" s="291"/>
      <c r="C33" s="292"/>
      <c r="D33" s="293"/>
      <c r="E33" s="394"/>
      <c r="F33" s="392"/>
      <c r="G33" s="279"/>
      <c r="H33" s="301"/>
      <c r="I33" s="301"/>
      <c r="J33" s="301"/>
      <c r="K33" s="301"/>
      <c r="L33" s="396"/>
      <c r="M33" s="301"/>
      <c r="N33" s="328">
        <f>IF(ProRataBalance&lt;&gt;0, SurplusAvailable/ProRataBalance*M33, 0)</f>
        <v>0</v>
      </c>
      <c r="O33" s="354">
        <f>I33*F33/12</f>
        <v>0</v>
      </c>
      <c r="P33" s="294">
        <f>IF(N33 + L33 &lt;&gt; 0, I33 / (N33 +L33), 0)</f>
        <v>0</v>
      </c>
      <c r="Q33" s="316"/>
      <c r="R33" s="317"/>
      <c r="S33" s="318"/>
    </row>
    <row r="34" spans="1:19" ht="12.75" customHeight="1">
      <c r="A34" s="297"/>
      <c r="B34" s="285"/>
      <c r="C34" s="285"/>
      <c r="D34" s="286"/>
      <c r="E34" s="288"/>
      <c r="F34" s="398"/>
      <c r="G34" s="280"/>
      <c r="H34" s="303"/>
      <c r="I34" s="303"/>
      <c r="J34" s="303"/>
      <c r="K34" s="303"/>
      <c r="L34" s="353"/>
      <c r="M34" s="303"/>
      <c r="N34" s="329"/>
      <c r="O34" s="324"/>
      <c r="P34" s="295"/>
      <c r="Q34" s="319"/>
      <c r="R34" s="320"/>
      <c r="S34" s="321"/>
    </row>
    <row r="35" spans="1:19" ht="12.75" customHeight="1">
      <c r="A35" s="296">
        <v>15</v>
      </c>
      <c r="B35" s="291"/>
      <c r="C35" s="292"/>
      <c r="D35" s="293"/>
      <c r="E35" s="394"/>
      <c r="F35" s="392"/>
      <c r="G35" s="279"/>
      <c r="H35" s="301"/>
      <c r="I35" s="301"/>
      <c r="J35" s="301"/>
      <c r="K35" s="301"/>
      <c r="L35" s="396"/>
      <c r="M35" s="301"/>
      <c r="N35" s="328">
        <f>IF(ProRataBalance&lt;&gt;0, SurplusAvailable/ProRataBalance*M35, 0)</f>
        <v>0</v>
      </c>
      <c r="O35" s="427">
        <f>I35*F35/12</f>
        <v>0</v>
      </c>
      <c r="P35" s="294">
        <f>IF(N35 + L35 &lt;&gt; 0, I35 / (N35 +L35), 0)</f>
        <v>0</v>
      </c>
      <c r="Q35" s="316"/>
      <c r="R35" s="317"/>
      <c r="S35" s="318"/>
    </row>
    <row r="36" spans="1:19" ht="12.75" customHeight="1">
      <c r="A36" s="297"/>
      <c r="B36" s="285"/>
      <c r="C36" s="285"/>
      <c r="D36" s="286"/>
      <c r="E36" s="288"/>
      <c r="F36" s="398"/>
      <c r="G36" s="280"/>
      <c r="H36" s="303"/>
      <c r="I36" s="303"/>
      <c r="J36" s="303"/>
      <c r="K36" s="303"/>
      <c r="L36" s="353"/>
      <c r="M36" s="303"/>
      <c r="N36" s="329"/>
      <c r="O36" s="428"/>
      <c r="P36" s="295"/>
      <c r="Q36" s="319"/>
      <c r="R36" s="320"/>
      <c r="S36" s="321"/>
    </row>
    <row r="37" spans="1:19" ht="12.75" customHeight="1">
      <c r="A37" s="296">
        <v>16</v>
      </c>
      <c r="B37" s="433"/>
      <c r="C37" s="433"/>
      <c r="D37" s="434"/>
      <c r="E37" s="287"/>
      <c r="F37" s="289"/>
      <c r="G37" s="279"/>
      <c r="H37" s="302"/>
      <c r="I37" s="302"/>
      <c r="J37" s="302"/>
      <c r="K37" s="302"/>
      <c r="L37" s="352"/>
      <c r="M37" s="302"/>
      <c r="N37" s="328">
        <f>IF(ProRataBalance&lt;&gt;0, SurplusAvailable/ProRataBalance*M37, 0)</f>
        <v>0</v>
      </c>
      <c r="O37" s="324">
        <f>I37*F37/12</f>
        <v>0</v>
      </c>
      <c r="P37" s="294">
        <f>IF(N37 + L37 &lt;&gt; 0, I37 / (N37 +L37), 0)</f>
        <v>0</v>
      </c>
      <c r="Q37" s="359"/>
      <c r="R37" s="360"/>
      <c r="S37" s="361"/>
    </row>
    <row r="38" spans="1:19" ht="12.75" customHeight="1">
      <c r="A38" s="297"/>
      <c r="B38" s="285"/>
      <c r="C38" s="285"/>
      <c r="D38" s="286"/>
      <c r="E38" s="288"/>
      <c r="F38" s="290"/>
      <c r="G38" s="280"/>
      <c r="H38" s="303"/>
      <c r="I38" s="303"/>
      <c r="J38" s="303"/>
      <c r="K38" s="303"/>
      <c r="L38" s="353"/>
      <c r="M38" s="303"/>
      <c r="N38" s="329"/>
      <c r="O38" s="325"/>
      <c r="P38" s="295"/>
      <c r="Q38" s="319"/>
      <c r="R38" s="320"/>
      <c r="S38" s="321"/>
    </row>
    <row r="39" spans="1:19" ht="12.75" customHeight="1">
      <c r="A39" s="296">
        <v>17</v>
      </c>
      <c r="B39" s="281"/>
      <c r="C39" s="281"/>
      <c r="D39" s="282"/>
      <c r="E39" s="394"/>
      <c r="F39" s="392"/>
      <c r="G39" s="279"/>
      <c r="H39" s="301"/>
      <c r="I39" s="301"/>
      <c r="J39" s="301"/>
      <c r="K39" s="301"/>
      <c r="L39" s="396"/>
      <c r="M39" s="301"/>
      <c r="N39" s="328">
        <f>IF(ProRataBalance&lt;&gt;0, SurplusAvailable/ProRataBalance*M39, 0)</f>
        <v>0</v>
      </c>
      <c r="O39" s="354">
        <f>I39*F39/12</f>
        <v>0</v>
      </c>
      <c r="P39" s="294">
        <f>IF(N39 + L39 &lt;&gt; 0, I39 / (N39 +L39), 0)</f>
        <v>0</v>
      </c>
      <c r="Q39" s="316"/>
      <c r="R39" s="317"/>
      <c r="S39" s="318"/>
    </row>
    <row r="40" spans="1:19" ht="12.75" customHeight="1">
      <c r="A40" s="297"/>
      <c r="B40" s="285"/>
      <c r="C40" s="285"/>
      <c r="D40" s="286"/>
      <c r="E40" s="288"/>
      <c r="F40" s="290"/>
      <c r="G40" s="280"/>
      <c r="H40" s="303"/>
      <c r="I40" s="303"/>
      <c r="J40" s="303"/>
      <c r="K40" s="303"/>
      <c r="L40" s="353"/>
      <c r="M40" s="303"/>
      <c r="N40" s="329"/>
      <c r="O40" s="325"/>
      <c r="P40" s="295"/>
      <c r="Q40" s="319"/>
      <c r="R40" s="320"/>
      <c r="S40" s="321"/>
    </row>
    <row r="41" spans="1:19" ht="12.75" customHeight="1">
      <c r="A41" s="296">
        <v>18</v>
      </c>
      <c r="B41" s="281"/>
      <c r="C41" s="281"/>
      <c r="D41" s="282"/>
      <c r="E41" s="394"/>
      <c r="F41" s="341"/>
      <c r="G41" s="279"/>
      <c r="H41" s="301"/>
      <c r="I41" s="301"/>
      <c r="J41" s="301"/>
      <c r="K41" s="301"/>
      <c r="L41" s="396"/>
      <c r="M41" s="301"/>
      <c r="N41" s="328">
        <f>IF(ProRataBalance&lt;&gt;0, SurplusAvailable/ProRataBalance*M41, 0)</f>
        <v>0</v>
      </c>
      <c r="O41" s="354">
        <f>I41*F41/12</f>
        <v>0</v>
      </c>
      <c r="P41" s="326">
        <f>IF(N41 + L41 &lt;&gt; 0, I41 / (N41 +L41), 0)</f>
        <v>0</v>
      </c>
      <c r="Q41" s="316"/>
      <c r="R41" s="317"/>
      <c r="S41" s="318"/>
    </row>
    <row r="42" spans="1:19" ht="12.75" customHeight="1" thickBot="1">
      <c r="A42" s="355"/>
      <c r="B42" s="283"/>
      <c r="C42" s="283"/>
      <c r="D42" s="284"/>
      <c r="E42" s="426"/>
      <c r="F42" s="342"/>
      <c r="G42" s="397"/>
      <c r="H42" s="330"/>
      <c r="I42" s="330"/>
      <c r="J42" s="330"/>
      <c r="K42" s="330"/>
      <c r="L42" s="425"/>
      <c r="M42" s="330"/>
      <c r="N42" s="328"/>
      <c r="O42" s="421"/>
      <c r="P42" s="327"/>
      <c r="Q42" s="356"/>
      <c r="R42" s="357"/>
      <c r="S42" s="358"/>
    </row>
    <row r="43" spans="1:19" ht="16.5" thickBot="1">
      <c r="A43" s="345"/>
      <c r="B43" s="346"/>
      <c r="C43" s="346"/>
      <c r="D43" s="346"/>
      <c r="E43" s="346"/>
      <c r="F43" s="347"/>
      <c r="G43" s="423" t="s">
        <v>184</v>
      </c>
      <c r="H43" s="404">
        <f t="shared" ref="H43:O43" si="0">SUM(H7:H41)</f>
        <v>0</v>
      </c>
      <c r="I43" s="404">
        <f t="shared" si="0"/>
        <v>0</v>
      </c>
      <c r="J43" s="404">
        <f t="shared" si="0"/>
        <v>2500</v>
      </c>
      <c r="K43" s="404">
        <f t="shared" si="0"/>
        <v>0</v>
      </c>
      <c r="L43" s="404">
        <f t="shared" si="0"/>
        <v>0</v>
      </c>
      <c r="M43" s="404">
        <f>SUM(M7:M41)</f>
        <v>0</v>
      </c>
      <c r="N43" s="343">
        <f t="shared" si="0"/>
        <v>0</v>
      </c>
      <c r="O43" s="343">
        <f t="shared" si="0"/>
        <v>0</v>
      </c>
      <c r="P43" s="185"/>
      <c r="Q43" s="105"/>
      <c r="R43" s="105"/>
      <c r="S43" s="170"/>
    </row>
    <row r="44" spans="1:19" ht="16.5" thickBot="1">
      <c r="A44" s="405" t="s">
        <v>202</v>
      </c>
      <c r="B44" s="406"/>
      <c r="C44" s="407"/>
      <c r="D44" s="411">
        <f ca="1">'Financial Organiser'!H47 * (ListFrequencyBudgetSelectionValue / ListFrequencyBudgetSelectionValueMonthly -1.3%)</f>
        <v>0</v>
      </c>
      <c r="E44" s="402"/>
      <c r="F44" s="403"/>
      <c r="G44" s="424"/>
      <c r="H44" s="344"/>
      <c r="I44" s="344"/>
      <c r="J44" s="344"/>
      <c r="K44" s="344"/>
      <c r="L44" s="344"/>
      <c r="M44" s="344"/>
      <c r="N44" s="344"/>
      <c r="O44" s="344"/>
      <c r="P44" s="185"/>
      <c r="Q44" s="105"/>
      <c r="R44" s="105"/>
      <c r="S44" s="170"/>
    </row>
    <row r="45" spans="1:19" ht="13.5" customHeight="1" thickBot="1">
      <c r="A45" s="408"/>
      <c r="B45" s="409"/>
      <c r="C45" s="410"/>
      <c r="D45" s="412"/>
      <c r="E45" s="402"/>
      <c r="F45" s="422"/>
      <c r="G45" s="346"/>
      <c r="H45" s="347"/>
      <c r="I45" s="413" t="s">
        <v>185</v>
      </c>
      <c r="J45" s="414"/>
      <c r="K45" s="417">
        <f ca="1">SUM(D44-K43)</f>
        <v>0</v>
      </c>
      <c r="L45" s="345"/>
      <c r="M45" s="346"/>
      <c r="N45" s="346"/>
      <c r="O45" s="346"/>
      <c r="P45" s="106"/>
      <c r="Q45" s="105"/>
      <c r="R45" s="105"/>
      <c r="S45" s="170"/>
    </row>
    <row r="46" spans="1:19" ht="13.5" customHeight="1" thickBot="1">
      <c r="A46" s="413" t="s">
        <v>186</v>
      </c>
      <c r="B46" s="406"/>
      <c r="C46" s="407"/>
      <c r="D46" s="419">
        <f ca="1">SUM(D44-L43)</f>
        <v>0</v>
      </c>
      <c r="E46" s="106"/>
      <c r="F46" s="106"/>
      <c r="G46" s="106"/>
      <c r="H46" s="106"/>
      <c r="I46" s="415"/>
      <c r="J46" s="416"/>
      <c r="K46" s="418"/>
      <c r="L46" s="402"/>
      <c r="M46" s="422"/>
      <c r="N46" s="422"/>
      <c r="O46" s="422"/>
      <c r="P46" s="106"/>
      <c r="Q46" s="105"/>
      <c r="R46" s="105"/>
      <c r="S46" s="170"/>
    </row>
    <row r="47" spans="1:19" ht="15.75" customHeight="1" thickBot="1">
      <c r="A47" s="408"/>
      <c r="B47" s="409"/>
      <c r="C47" s="410"/>
      <c r="D47" s="420"/>
      <c r="E47" s="106"/>
      <c r="F47" s="106"/>
      <c r="G47" s="106"/>
      <c r="H47" s="106"/>
      <c r="I47" s="108"/>
      <c r="J47" s="106"/>
      <c r="K47" s="106"/>
      <c r="L47" s="106"/>
      <c r="M47" s="106"/>
      <c r="N47" s="106"/>
      <c r="O47" s="106"/>
      <c r="P47" s="106"/>
      <c r="Q47" s="105"/>
      <c r="R47" s="105"/>
      <c r="S47" s="170"/>
    </row>
    <row r="48" spans="1:19" ht="16.5" thickBot="1">
      <c r="A48" s="111"/>
      <c r="B48" s="107"/>
      <c r="C48" s="107"/>
      <c r="D48" s="107"/>
      <c r="E48" s="168"/>
      <c r="F48" s="168"/>
      <c r="G48" s="173"/>
      <c r="H48" s="173"/>
      <c r="I48" s="173"/>
      <c r="J48" s="168"/>
      <c r="K48" s="168"/>
      <c r="L48" s="168"/>
      <c r="M48" s="168"/>
      <c r="N48" s="168"/>
      <c r="O48" s="106"/>
      <c r="P48" s="106"/>
      <c r="Q48" s="105"/>
      <c r="R48" s="105"/>
      <c r="S48" s="170"/>
    </row>
    <row r="49" spans="1:19" ht="20.100000000000001" customHeight="1" thickBot="1">
      <c r="A49" s="110"/>
      <c r="B49" s="106"/>
      <c r="C49" s="174"/>
      <c r="D49" s="174"/>
      <c r="E49" s="334" t="s">
        <v>189</v>
      </c>
      <c r="F49" s="335"/>
      <c r="G49" s="106"/>
      <c r="H49" s="106"/>
      <c r="I49" s="106"/>
      <c r="J49" s="106"/>
      <c r="K49" s="106"/>
      <c r="L49" s="106"/>
      <c r="M49" s="106"/>
      <c r="N49" s="174"/>
      <c r="O49" s="106"/>
      <c r="P49" s="106"/>
      <c r="Q49" s="105"/>
      <c r="R49" s="105"/>
      <c r="S49" s="170"/>
    </row>
    <row r="50" spans="1:19" ht="20.100000000000001" customHeight="1">
      <c r="A50" s="110"/>
      <c r="B50" s="106"/>
      <c r="C50" s="174"/>
      <c r="D50" s="174"/>
      <c r="E50" s="348" t="s">
        <v>195</v>
      </c>
      <c r="F50" s="349"/>
      <c r="G50" s="350"/>
      <c r="H50" s="350"/>
      <c r="I50" s="350"/>
      <c r="J50" s="350"/>
      <c r="K50" s="350"/>
      <c r="L50" s="350"/>
      <c r="M50" s="350"/>
      <c r="N50" s="350"/>
      <c r="O50" s="351"/>
      <c r="P50" s="186"/>
      <c r="Q50" s="105"/>
      <c r="R50" s="105"/>
      <c r="S50" s="170"/>
    </row>
    <row r="51" spans="1:19" ht="20.100000000000001" customHeight="1">
      <c r="A51" s="110"/>
      <c r="B51" s="106"/>
      <c r="C51" s="174"/>
      <c r="D51" s="174"/>
      <c r="E51" s="336"/>
      <c r="F51" s="339"/>
      <c r="G51" s="339"/>
      <c r="H51" s="339"/>
      <c r="I51" s="339"/>
      <c r="J51" s="339"/>
      <c r="K51" s="339"/>
      <c r="L51" s="339"/>
      <c r="M51" s="339"/>
      <c r="N51" s="339"/>
      <c r="O51" s="340"/>
      <c r="P51" s="186"/>
      <c r="Q51" s="105"/>
      <c r="R51" s="105"/>
      <c r="S51" s="170"/>
    </row>
    <row r="52" spans="1:19" ht="20.100000000000001" customHeight="1">
      <c r="A52" s="110"/>
      <c r="B52" s="106"/>
      <c r="C52" s="174"/>
      <c r="D52" s="174"/>
      <c r="E52" s="336"/>
      <c r="F52" s="339"/>
      <c r="G52" s="339"/>
      <c r="H52" s="339"/>
      <c r="I52" s="339"/>
      <c r="J52" s="339"/>
      <c r="K52" s="339"/>
      <c r="L52" s="339"/>
      <c r="M52" s="339"/>
      <c r="N52" s="339"/>
      <c r="O52" s="340"/>
      <c r="P52" s="186"/>
      <c r="Q52" s="105"/>
      <c r="R52" s="105"/>
      <c r="S52" s="170"/>
    </row>
    <row r="53" spans="1:19" ht="20.100000000000001" customHeight="1">
      <c r="A53" s="110"/>
      <c r="B53" s="106"/>
      <c r="C53" s="174"/>
      <c r="D53" s="174"/>
      <c r="E53" s="336"/>
      <c r="F53" s="337"/>
      <c r="G53" s="337"/>
      <c r="H53" s="337"/>
      <c r="I53" s="337"/>
      <c r="J53" s="337"/>
      <c r="K53" s="337"/>
      <c r="L53" s="337"/>
      <c r="M53" s="337"/>
      <c r="N53" s="337"/>
      <c r="O53" s="338"/>
      <c r="P53" s="186"/>
      <c r="Q53" s="105"/>
      <c r="R53" s="105"/>
      <c r="S53" s="170"/>
    </row>
    <row r="54" spans="1:19" ht="20.100000000000001" customHeight="1">
      <c r="A54" s="110"/>
      <c r="B54" s="106"/>
      <c r="C54" s="174"/>
      <c r="D54" s="174"/>
      <c r="E54" s="336"/>
      <c r="F54" s="337"/>
      <c r="G54" s="337"/>
      <c r="H54" s="337"/>
      <c r="I54" s="337"/>
      <c r="J54" s="337"/>
      <c r="K54" s="337"/>
      <c r="L54" s="337"/>
      <c r="M54" s="337"/>
      <c r="N54" s="337"/>
      <c r="O54" s="338"/>
      <c r="P54" s="186"/>
      <c r="Q54" s="105"/>
      <c r="R54" s="105"/>
      <c r="S54" s="170"/>
    </row>
    <row r="55" spans="1:19" ht="20.100000000000001" customHeight="1" thickBot="1">
      <c r="A55" s="110"/>
      <c r="B55" s="106"/>
      <c r="C55" s="174"/>
      <c r="D55" s="174"/>
      <c r="E55" s="331"/>
      <c r="F55" s="332"/>
      <c r="G55" s="332"/>
      <c r="H55" s="332"/>
      <c r="I55" s="332"/>
      <c r="J55" s="332"/>
      <c r="K55" s="332"/>
      <c r="L55" s="332"/>
      <c r="M55" s="332"/>
      <c r="N55" s="332"/>
      <c r="O55" s="333"/>
      <c r="P55" s="186"/>
      <c r="Q55" s="105"/>
      <c r="R55" s="105"/>
      <c r="S55" s="170"/>
    </row>
    <row r="56" spans="1:19" ht="13.5" thickBot="1">
      <c r="A56" s="429" t="s">
        <v>206</v>
      </c>
      <c r="B56" s="430"/>
      <c r="C56" s="430"/>
      <c r="D56" s="430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71"/>
      <c r="R56" s="171"/>
      <c r="S56" s="172"/>
    </row>
  </sheetData>
  <sheetProtection password="CA23" sheet="1" objects="1" scenarios="1"/>
  <mergeCells count="328">
    <mergeCell ref="F35:F36"/>
    <mergeCell ref="F33:F34"/>
    <mergeCell ref="F31:F32"/>
    <mergeCell ref="A46:C47"/>
    <mergeCell ref="A56:D56"/>
    <mergeCell ref="B7:D8"/>
    <mergeCell ref="B9:D10"/>
    <mergeCell ref="B11:D12"/>
    <mergeCell ref="B13:D14"/>
    <mergeCell ref="B15:D16"/>
    <mergeCell ref="B17:D18"/>
    <mergeCell ref="B19:D20"/>
    <mergeCell ref="B21:D22"/>
    <mergeCell ref="B37:D38"/>
    <mergeCell ref="A17:A18"/>
    <mergeCell ref="A35:A36"/>
    <mergeCell ref="A19:A20"/>
    <mergeCell ref="B35:D36"/>
    <mergeCell ref="A21:A22"/>
    <mergeCell ref="O29:O30"/>
    <mergeCell ref="O31:O32"/>
    <mergeCell ref="O33:O34"/>
    <mergeCell ref="O35:O36"/>
    <mergeCell ref="N29:N30"/>
    <mergeCell ref="M31:M32"/>
    <mergeCell ref="M33:M34"/>
    <mergeCell ref="N31:N32"/>
    <mergeCell ref="N27:N28"/>
    <mergeCell ref="O27:O28"/>
    <mergeCell ref="N35:N36"/>
    <mergeCell ref="M35:M36"/>
    <mergeCell ref="L46:O46"/>
    <mergeCell ref="E45:F45"/>
    <mergeCell ref="G45:H45"/>
    <mergeCell ref="E31:E32"/>
    <mergeCell ref="E33:E34"/>
    <mergeCell ref="E35:E36"/>
    <mergeCell ref="H31:H32"/>
    <mergeCell ref="H33:H34"/>
    <mergeCell ref="L35:L36"/>
    <mergeCell ref="H35:H36"/>
    <mergeCell ref="K43:K44"/>
    <mergeCell ref="G43:G44"/>
    <mergeCell ref="H43:H44"/>
    <mergeCell ref="I43:I44"/>
    <mergeCell ref="L41:L42"/>
    <mergeCell ref="M39:M40"/>
    <mergeCell ref="H37:H38"/>
    <mergeCell ref="G39:G40"/>
    <mergeCell ref="E41:E42"/>
    <mergeCell ref="J31:J32"/>
    <mergeCell ref="J33:J34"/>
    <mergeCell ref="J35:J36"/>
    <mergeCell ref="K33:K34"/>
    <mergeCell ref="K35:K36"/>
    <mergeCell ref="F29:F30"/>
    <mergeCell ref="A6:D6"/>
    <mergeCell ref="L45:O45"/>
    <mergeCell ref="F27:F28"/>
    <mergeCell ref="E29:E30"/>
    <mergeCell ref="H29:H30"/>
    <mergeCell ref="J29:J30"/>
    <mergeCell ref="E44:F44"/>
    <mergeCell ref="L43:L44"/>
    <mergeCell ref="M43:M44"/>
    <mergeCell ref="A44:C45"/>
    <mergeCell ref="O43:O44"/>
    <mergeCell ref="D44:D45"/>
    <mergeCell ref="I45:J46"/>
    <mergeCell ref="K45:K46"/>
    <mergeCell ref="D46:D47"/>
    <mergeCell ref="J43:J44"/>
    <mergeCell ref="L39:L40"/>
    <mergeCell ref="I39:I40"/>
    <mergeCell ref="J39:J40"/>
    <mergeCell ref="K39:K40"/>
    <mergeCell ref="O41:O42"/>
    <mergeCell ref="I41:I42"/>
    <mergeCell ref="J41:J42"/>
    <mergeCell ref="G37:G38"/>
    <mergeCell ref="G41:G42"/>
    <mergeCell ref="N25:N26"/>
    <mergeCell ref="I37:I38"/>
    <mergeCell ref="J37:J38"/>
    <mergeCell ref="K37:K38"/>
    <mergeCell ref="I29:I30"/>
    <mergeCell ref="I31:I32"/>
    <mergeCell ref="I33:I34"/>
    <mergeCell ref="I35:I36"/>
    <mergeCell ref="K29:K30"/>
    <mergeCell ref="K31:K32"/>
    <mergeCell ref="H27:H28"/>
    <mergeCell ref="H25:H26"/>
    <mergeCell ref="G25:G26"/>
    <mergeCell ref="G27:G28"/>
    <mergeCell ref="M37:M38"/>
    <mergeCell ref="N37:N38"/>
    <mergeCell ref="K41:K42"/>
    <mergeCell ref="L27:L28"/>
    <mergeCell ref="L29:L30"/>
    <mergeCell ref="L31:L32"/>
    <mergeCell ref="L33:L34"/>
    <mergeCell ref="N33:N34"/>
    <mergeCell ref="M27:M28"/>
    <mergeCell ref="O25:O26"/>
    <mergeCell ref="I25:I26"/>
    <mergeCell ref="J25:J26"/>
    <mergeCell ref="K25:K26"/>
    <mergeCell ref="L25:L26"/>
    <mergeCell ref="M25:M26"/>
    <mergeCell ref="E27:E28"/>
    <mergeCell ref="L23:L24"/>
    <mergeCell ref="F25:F26"/>
    <mergeCell ref="E25:E26"/>
    <mergeCell ref="K21:K22"/>
    <mergeCell ref="L21:L22"/>
    <mergeCell ref="N23:N24"/>
    <mergeCell ref="O23:O24"/>
    <mergeCell ref="I23:I24"/>
    <mergeCell ref="J23:J24"/>
    <mergeCell ref="K23:K24"/>
    <mergeCell ref="E23:E24"/>
    <mergeCell ref="G23:G24"/>
    <mergeCell ref="E15:E16"/>
    <mergeCell ref="G15:G16"/>
    <mergeCell ref="N15:N16"/>
    <mergeCell ref="E13:E14"/>
    <mergeCell ref="N19:N20"/>
    <mergeCell ref="O19:O20"/>
    <mergeCell ref="I19:I20"/>
    <mergeCell ref="J19:J20"/>
    <mergeCell ref="K19:K20"/>
    <mergeCell ref="L19:L20"/>
    <mergeCell ref="G17:G18"/>
    <mergeCell ref="F17:F18"/>
    <mergeCell ref="H17:H18"/>
    <mergeCell ref="O17:O18"/>
    <mergeCell ref="I17:I18"/>
    <mergeCell ref="J17:J18"/>
    <mergeCell ref="K17:K18"/>
    <mergeCell ref="L17:L18"/>
    <mergeCell ref="M17:M18"/>
    <mergeCell ref="N17:N18"/>
    <mergeCell ref="F19:F20"/>
    <mergeCell ref="H19:H20"/>
    <mergeCell ref="M19:M20"/>
    <mergeCell ref="E19:E20"/>
    <mergeCell ref="O15:O16"/>
    <mergeCell ref="I15:I16"/>
    <mergeCell ref="J15:J16"/>
    <mergeCell ref="K15:K16"/>
    <mergeCell ref="L15:L16"/>
    <mergeCell ref="F11:F12"/>
    <mergeCell ref="H11:H12"/>
    <mergeCell ref="M11:M12"/>
    <mergeCell ref="N13:N14"/>
    <mergeCell ref="O13:O14"/>
    <mergeCell ref="J13:J14"/>
    <mergeCell ref="K13:K14"/>
    <mergeCell ref="F15:F16"/>
    <mergeCell ref="H15:H16"/>
    <mergeCell ref="M15:M16"/>
    <mergeCell ref="O9:O10"/>
    <mergeCell ref="I9:I10"/>
    <mergeCell ref="J9:J10"/>
    <mergeCell ref="K9:K10"/>
    <mergeCell ref="L9:L10"/>
    <mergeCell ref="N11:N12"/>
    <mergeCell ref="O11:O12"/>
    <mergeCell ref="I11:I12"/>
    <mergeCell ref="M13:M14"/>
    <mergeCell ref="L11:L12"/>
    <mergeCell ref="N9:N10"/>
    <mergeCell ref="G9:G10"/>
    <mergeCell ref="E7:E8"/>
    <mergeCell ref="F9:F10"/>
    <mergeCell ref="H9:H10"/>
    <mergeCell ref="M9:M10"/>
    <mergeCell ref="E9:E10"/>
    <mergeCell ref="E11:E12"/>
    <mergeCell ref="G11:G12"/>
    <mergeCell ref="G13:G14"/>
    <mergeCell ref="J11:J12"/>
    <mergeCell ref="K11:K12"/>
    <mergeCell ref="L13:L14"/>
    <mergeCell ref="I13:I14"/>
    <mergeCell ref="F13:F14"/>
    <mergeCell ref="H13:H14"/>
    <mergeCell ref="O7:O8"/>
    <mergeCell ref="I7:I8"/>
    <mergeCell ref="J7:J8"/>
    <mergeCell ref="K7:K8"/>
    <mergeCell ref="L7:L8"/>
    <mergeCell ref="Q7:S7"/>
    <mergeCell ref="Q8:S8"/>
    <mergeCell ref="F7:F8"/>
    <mergeCell ref="H7:H8"/>
    <mergeCell ref="M7:M8"/>
    <mergeCell ref="G7:G8"/>
    <mergeCell ref="A5:D5"/>
    <mergeCell ref="B2:E2"/>
    <mergeCell ref="M2:N2"/>
    <mergeCell ref="B3:E3"/>
    <mergeCell ref="M3:N3"/>
    <mergeCell ref="H3:J3"/>
    <mergeCell ref="Q15:S15"/>
    <mergeCell ref="Q16:S16"/>
    <mergeCell ref="Q9:S9"/>
    <mergeCell ref="Q10:S10"/>
    <mergeCell ref="Q11:S11"/>
    <mergeCell ref="Q12:S12"/>
    <mergeCell ref="P7:P8"/>
    <mergeCell ref="P9:P10"/>
    <mergeCell ref="P11:P12"/>
    <mergeCell ref="P13:P14"/>
    <mergeCell ref="P15:P16"/>
    <mergeCell ref="A7:A8"/>
    <mergeCell ref="A9:A10"/>
    <mergeCell ref="A11:A12"/>
    <mergeCell ref="A13:A14"/>
    <mergeCell ref="A15:A16"/>
    <mergeCell ref="N7:N8"/>
    <mergeCell ref="Q5:S6"/>
    <mergeCell ref="Q30:S30"/>
    <mergeCell ref="Q34:S34"/>
    <mergeCell ref="Q35:S35"/>
    <mergeCell ref="Q39:S39"/>
    <mergeCell ref="Q40:S40"/>
    <mergeCell ref="Q25:S25"/>
    <mergeCell ref="Q26:S26"/>
    <mergeCell ref="Q41:S41"/>
    <mergeCell ref="Q36:S36"/>
    <mergeCell ref="N39:N40"/>
    <mergeCell ref="M41:M42"/>
    <mergeCell ref="P35:P36"/>
    <mergeCell ref="E55:O55"/>
    <mergeCell ref="E49:F49"/>
    <mergeCell ref="E54:O54"/>
    <mergeCell ref="E51:O51"/>
    <mergeCell ref="E52:O52"/>
    <mergeCell ref="F41:F42"/>
    <mergeCell ref="H41:H42"/>
    <mergeCell ref="N41:N42"/>
    <mergeCell ref="N43:N44"/>
    <mergeCell ref="A43:F43"/>
    <mergeCell ref="E50:O50"/>
    <mergeCell ref="E53:O53"/>
    <mergeCell ref="L37:L38"/>
    <mergeCell ref="O39:O40"/>
    <mergeCell ref="P37:P38"/>
    <mergeCell ref="A41:A42"/>
    <mergeCell ref="A39:A40"/>
    <mergeCell ref="A37:A38"/>
    <mergeCell ref="E39:E40"/>
    <mergeCell ref="F39:F40"/>
    <mergeCell ref="H39:H40"/>
    <mergeCell ref="O2:R2"/>
    <mergeCell ref="O3:R3"/>
    <mergeCell ref="Q21:S21"/>
    <mergeCell ref="Q22:S22"/>
    <mergeCell ref="Q14:S14"/>
    <mergeCell ref="Q13:S13"/>
    <mergeCell ref="O37:O38"/>
    <mergeCell ref="P39:P40"/>
    <mergeCell ref="P41:P42"/>
    <mergeCell ref="Q23:S23"/>
    <mergeCell ref="Q24:S24"/>
    <mergeCell ref="Q17:S17"/>
    <mergeCell ref="Q18:S18"/>
    <mergeCell ref="Q19:S19"/>
    <mergeCell ref="Q20:S20"/>
    <mergeCell ref="Q42:S42"/>
    <mergeCell ref="Q27:S27"/>
    <mergeCell ref="Q28:S28"/>
    <mergeCell ref="Q37:S37"/>
    <mergeCell ref="Q38:S38"/>
    <mergeCell ref="Q31:S31"/>
    <mergeCell ref="Q32:S32"/>
    <mergeCell ref="Q33:S33"/>
    <mergeCell ref="Q29:S29"/>
    <mergeCell ref="A25:A26"/>
    <mergeCell ref="A23:A24"/>
    <mergeCell ref="B31:D32"/>
    <mergeCell ref="B23:D24"/>
    <mergeCell ref="B25:D26"/>
    <mergeCell ref="B27:D28"/>
    <mergeCell ref="B29:D30"/>
    <mergeCell ref="P17:P18"/>
    <mergeCell ref="P19:P20"/>
    <mergeCell ref="P21:P22"/>
    <mergeCell ref="E17:E18"/>
    <mergeCell ref="E21:E22"/>
    <mergeCell ref="G19:G20"/>
    <mergeCell ref="G21:G22"/>
    <mergeCell ref="F21:F22"/>
    <mergeCell ref="H21:H22"/>
    <mergeCell ref="M21:M22"/>
    <mergeCell ref="N21:N22"/>
    <mergeCell ref="F23:F24"/>
    <mergeCell ref="H23:H24"/>
    <mergeCell ref="M23:M24"/>
    <mergeCell ref="O21:O22"/>
    <mergeCell ref="I21:I22"/>
    <mergeCell ref="J21:J22"/>
    <mergeCell ref="A1:S1"/>
    <mergeCell ref="G29:G30"/>
    <mergeCell ref="G31:G32"/>
    <mergeCell ref="B41:D42"/>
    <mergeCell ref="B39:D40"/>
    <mergeCell ref="E37:E38"/>
    <mergeCell ref="F37:F38"/>
    <mergeCell ref="G33:G34"/>
    <mergeCell ref="G35:G36"/>
    <mergeCell ref="B33:D34"/>
    <mergeCell ref="P23:P24"/>
    <mergeCell ref="P25:P26"/>
    <mergeCell ref="P27:P28"/>
    <mergeCell ref="P29:P30"/>
    <mergeCell ref="A33:A34"/>
    <mergeCell ref="A31:A32"/>
    <mergeCell ref="A29:A30"/>
    <mergeCell ref="A27:A28"/>
    <mergeCell ref="P31:P32"/>
    <mergeCell ref="P33:P34"/>
    <mergeCell ref="I27:I28"/>
    <mergeCell ref="J27:J28"/>
    <mergeCell ref="K27:K28"/>
    <mergeCell ref="M29:M30"/>
  </mergeCells>
  <phoneticPr fontId="19" type="noConversion"/>
  <pageMargins left="0.35" right="0.56000000000000005" top="0.54" bottom="0.52" header="0.39" footer="0.53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85"/>
  <sheetViews>
    <sheetView workbookViewId="0">
      <selection activeCell="F10" sqref="F10"/>
    </sheetView>
  </sheetViews>
  <sheetFormatPr defaultRowHeight="12.75"/>
  <cols>
    <col min="1" max="1" width="23" customWidth="1"/>
    <col min="2" max="3" width="15.7109375" customWidth="1"/>
    <col min="4" max="4" width="16.7109375" bestFit="1" customWidth="1"/>
    <col min="5" max="5" width="2.5703125" customWidth="1"/>
    <col min="6" max="6" width="40.7109375" customWidth="1"/>
    <col min="7" max="7" width="20.28515625" style="7" bestFit="1" customWidth="1"/>
    <col min="8" max="8" width="10" customWidth="1"/>
    <col min="9" max="9" width="1.7109375" style="93" bestFit="1" customWidth="1"/>
    <col min="10" max="10" width="19.28515625" bestFit="1" customWidth="1"/>
    <col min="11" max="11" width="1.7109375" style="93" bestFit="1" customWidth="1"/>
    <col min="12" max="12" width="20.28515625" bestFit="1" customWidth="1"/>
    <col min="13" max="13" width="1.7109375" style="93" bestFit="1" customWidth="1"/>
    <col min="14" max="14" width="18.7109375" bestFit="1" customWidth="1"/>
    <col min="15" max="15" width="1.7109375" style="93" bestFit="1" customWidth="1"/>
    <col min="16" max="16" width="16.28515625" bestFit="1" customWidth="1"/>
    <col min="17" max="17" width="1.7109375" style="93" bestFit="1" customWidth="1"/>
    <col min="18" max="18" width="21.85546875" bestFit="1" customWidth="1"/>
    <col min="19" max="19" width="1.7109375" style="93" bestFit="1" customWidth="1"/>
    <col min="20" max="20" width="17.85546875" bestFit="1" customWidth="1"/>
    <col min="21" max="21" width="1.7109375" style="93" bestFit="1" customWidth="1"/>
    <col min="22" max="22" width="30.85546875" bestFit="1" customWidth="1"/>
    <col min="23" max="23" width="1.7109375" style="93" bestFit="1" customWidth="1"/>
    <col min="24" max="24" width="16.28515625" bestFit="1" customWidth="1"/>
    <col min="25" max="25" width="1.7109375" style="93" bestFit="1" customWidth="1"/>
    <col min="26" max="26" width="23.28515625" bestFit="1" customWidth="1"/>
  </cols>
  <sheetData>
    <row r="1" spans="1:26" ht="18">
      <c r="A1" s="438" t="s">
        <v>112</v>
      </c>
      <c r="B1" s="439"/>
      <c r="C1" s="439"/>
      <c r="D1" s="439"/>
      <c r="F1" s="440" t="s">
        <v>113</v>
      </c>
      <c r="G1" s="441"/>
      <c r="J1" s="98"/>
      <c r="L1" s="98"/>
      <c r="N1" s="98"/>
      <c r="P1" s="98"/>
      <c r="R1" s="98"/>
      <c r="T1" s="98"/>
      <c r="V1" s="98"/>
      <c r="X1" s="98"/>
      <c r="Z1" s="98"/>
    </row>
    <row r="2" spans="1:26" ht="12.75" customHeight="1" thickBot="1">
      <c r="A2" s="6"/>
      <c r="C2" s="5"/>
      <c r="D2" s="5"/>
    </row>
    <row r="3" spans="1:26" ht="15" customHeight="1" thickTop="1" thickBot="1">
      <c r="A3" s="435" t="s">
        <v>66</v>
      </c>
      <c r="B3" s="436"/>
      <c r="C3" s="436"/>
      <c r="D3" s="437"/>
      <c r="F3" s="47" t="s">
        <v>100</v>
      </c>
      <c r="G3" s="48" t="s">
        <v>69</v>
      </c>
      <c r="H3" s="8"/>
      <c r="I3" s="95"/>
      <c r="K3" s="95"/>
      <c r="M3" s="95"/>
    </row>
    <row r="4" spans="1:26" ht="12.75" customHeight="1" thickTop="1">
      <c r="A4" s="23" t="s">
        <v>67</v>
      </c>
      <c r="B4" s="24" t="s">
        <v>68</v>
      </c>
      <c r="C4" s="24" t="s">
        <v>76</v>
      </c>
      <c r="D4" s="25" t="s">
        <v>77</v>
      </c>
      <c r="F4" s="49" t="s">
        <v>141</v>
      </c>
      <c r="G4" s="50">
        <f>BudgetDate</f>
        <v>43343</v>
      </c>
      <c r="L4" s="1"/>
      <c r="N4" s="1"/>
      <c r="T4" s="1"/>
      <c r="Z4" s="1"/>
    </row>
    <row r="5" spans="1:26" ht="12.75" customHeight="1">
      <c r="A5" s="26" t="s">
        <v>70</v>
      </c>
      <c r="B5" s="27">
        <f ca="1">ConstWeeksInYear</f>
        <v>52.142857142857146</v>
      </c>
      <c r="C5" s="27"/>
      <c r="D5" s="28"/>
      <c r="F5" s="51" t="s">
        <v>137</v>
      </c>
      <c r="G5" s="52" t="str">
        <f>ListFrequencyBudgetSelection</f>
        <v>Fortnightly</v>
      </c>
      <c r="J5" s="1"/>
    </row>
    <row r="6" spans="1:26" ht="12.75" customHeight="1">
      <c r="A6" s="26" t="s">
        <v>71</v>
      </c>
      <c r="B6" s="27">
        <f ca="1">ConstFortnightsInYear</f>
        <v>26.071428571428573</v>
      </c>
      <c r="C6" s="27"/>
      <c r="D6" s="28"/>
      <c r="F6" s="51" t="s">
        <v>138</v>
      </c>
      <c r="G6" s="52">
        <f ca="1">IF(ListFrequencyBudgetSelection = 0, "No Budget", VLOOKUP(ListFrequencyBudgetSelection, TableBudgetFrequency, ConstColumnAnnualRate, FALSE))</f>
        <v>26.071428571428573</v>
      </c>
      <c r="R6" s="1"/>
      <c r="X6" s="1"/>
    </row>
    <row r="7" spans="1:26" ht="12.75" customHeight="1">
      <c r="A7" s="26" t="s">
        <v>72</v>
      </c>
      <c r="B7" s="27">
        <f>ConstMonthsInYear</f>
        <v>12</v>
      </c>
      <c r="C7" s="27"/>
      <c r="D7" s="28"/>
      <c r="F7" s="51" t="s">
        <v>139</v>
      </c>
      <c r="G7" s="77" t="str">
        <f>IF(ListFrequencyBudgetSelection = 0, "No Budget", VLOOKUP(ListFrequencyBudgetSelection, TableBudgetFrequency, ConstColumnDescription1, FALSE))</f>
        <v>Description 1</v>
      </c>
      <c r="P7" s="1"/>
      <c r="V7" s="1"/>
    </row>
    <row r="8" spans="1:26" ht="12.75" customHeight="1">
      <c r="A8" s="29" t="s">
        <v>75</v>
      </c>
      <c r="B8" s="27">
        <f>ConstMonthsInYear/2</f>
        <v>6</v>
      </c>
      <c r="C8" s="27"/>
      <c r="D8" s="28"/>
      <c r="F8" s="51" t="s">
        <v>140</v>
      </c>
      <c r="G8" s="52" t="str">
        <f>IF(ListFrequencyBudgetSelection = 0, "No Budget", VLOOKUP(ListFrequencyBudgetSelection, TableBudgetFrequency, ConstColumnDescription2, FALSE))</f>
        <v>Description 2</v>
      </c>
      <c r="N8" s="1"/>
      <c r="Z8" s="1"/>
    </row>
    <row r="9" spans="1:26" ht="12.75" customHeight="1">
      <c r="A9" s="26" t="s">
        <v>74</v>
      </c>
      <c r="B9" s="27">
        <f>ConstQuartersInYear</f>
        <v>4</v>
      </c>
      <c r="C9" s="27"/>
      <c r="D9" s="28"/>
      <c r="F9" s="51" t="s">
        <v>190</v>
      </c>
      <c r="G9" s="90">
        <f>VLOOKUP(ListFrequencyBudgetMonthly, TableBudgetFrequency, ConstColumnAnnualRate, FALSE)</f>
        <v>12</v>
      </c>
      <c r="X9" s="1"/>
    </row>
    <row r="10" spans="1:26" ht="12.75" customHeight="1" thickBot="1">
      <c r="A10" s="30" t="s">
        <v>73</v>
      </c>
      <c r="B10" s="31">
        <v>1</v>
      </c>
      <c r="C10" s="31"/>
      <c r="D10" s="32"/>
      <c r="F10" s="51"/>
      <c r="G10" s="88"/>
      <c r="J10" s="1"/>
      <c r="L10" s="1"/>
      <c r="T10" s="1"/>
      <c r="Z10" s="1"/>
    </row>
    <row r="11" spans="1:26" ht="12.75" customHeight="1" thickTop="1" thickBot="1">
      <c r="A11" s="1"/>
      <c r="F11" s="53" t="s">
        <v>101</v>
      </c>
      <c r="G11" s="52" t="str">
        <f>A7</f>
        <v>Month</v>
      </c>
      <c r="N11" s="1"/>
    </row>
    <row r="12" spans="1:26" ht="15" customHeight="1" thickTop="1" thickBot="1">
      <c r="A12" s="435" t="s">
        <v>143</v>
      </c>
      <c r="B12" s="436"/>
      <c r="C12" s="436"/>
      <c r="D12" s="437"/>
      <c r="F12" s="51" t="s">
        <v>119</v>
      </c>
      <c r="G12" s="90">
        <f ca="1">TotalIncome</f>
        <v>0</v>
      </c>
      <c r="J12" s="1"/>
      <c r="P12" s="1"/>
      <c r="V12" s="1"/>
    </row>
    <row r="13" spans="1:26" ht="15" customHeight="1" thickTop="1">
      <c r="A13" s="23" t="s">
        <v>67</v>
      </c>
      <c r="B13" s="24" t="s">
        <v>68</v>
      </c>
      <c r="C13" s="24" t="s">
        <v>76</v>
      </c>
      <c r="D13" s="25" t="s">
        <v>77</v>
      </c>
      <c r="F13" s="51" t="s">
        <v>168</v>
      </c>
      <c r="G13" s="52" t="b">
        <v>1</v>
      </c>
    </row>
    <row r="14" spans="1:26" ht="13.5" thickBot="1">
      <c r="A14" s="29" t="s">
        <v>49</v>
      </c>
      <c r="B14" s="27">
        <f ca="1">ConstWeeksInYear</f>
        <v>52.142857142857146</v>
      </c>
      <c r="C14" s="91" t="s">
        <v>76</v>
      </c>
      <c r="D14" s="92" t="s">
        <v>77</v>
      </c>
      <c r="F14" s="64" t="s">
        <v>117</v>
      </c>
      <c r="G14" s="78" t="s">
        <v>118</v>
      </c>
      <c r="T14" s="1"/>
      <c r="V14" s="1"/>
    </row>
    <row r="15" spans="1:26" ht="14.25" thickTop="1" thickBot="1">
      <c r="A15" s="29" t="s">
        <v>34</v>
      </c>
      <c r="B15" s="27">
        <f ca="1">ConstFortnightsInYear</f>
        <v>26.071428571428573</v>
      </c>
      <c r="C15" s="91" t="s">
        <v>76</v>
      </c>
      <c r="D15" s="92" t="s">
        <v>77</v>
      </c>
    </row>
    <row r="16" spans="1:26" ht="17.25" thickTop="1" thickBot="1">
      <c r="A16" s="29" t="s">
        <v>53</v>
      </c>
      <c r="B16" s="27">
        <f>ConstMonthsInYear</f>
        <v>12</v>
      </c>
      <c r="C16" s="91" t="s">
        <v>76</v>
      </c>
      <c r="D16" s="92" t="s">
        <v>77</v>
      </c>
      <c r="F16" s="55" t="s">
        <v>99</v>
      </c>
      <c r="G16" s="56" t="s">
        <v>69</v>
      </c>
      <c r="L16" s="1"/>
    </row>
    <row r="17" spans="1:12" ht="14.25" thickTop="1" thickBot="1">
      <c r="A17" s="30" t="s">
        <v>73</v>
      </c>
      <c r="B17" s="31">
        <v>1</v>
      </c>
      <c r="C17" s="178" t="s">
        <v>76</v>
      </c>
      <c r="D17" s="179" t="s">
        <v>77</v>
      </c>
      <c r="F17" s="57" t="s">
        <v>94</v>
      </c>
      <c r="G17" s="52" t="b">
        <v>1</v>
      </c>
      <c r="J17" s="1"/>
    </row>
    <row r="18" spans="1:12" ht="14.25" thickTop="1" thickBot="1">
      <c r="F18" s="51" t="s">
        <v>95</v>
      </c>
      <c r="G18" s="52" t="b">
        <v>1</v>
      </c>
    </row>
    <row r="19" spans="1:12" ht="15" customHeight="1" thickTop="1" thickBot="1">
      <c r="A19" s="442" t="s">
        <v>65</v>
      </c>
      <c r="B19" s="443"/>
      <c r="C19" s="443"/>
      <c r="D19" s="444"/>
      <c r="F19" s="51" t="s">
        <v>96</v>
      </c>
      <c r="G19" s="52" t="b">
        <v>0</v>
      </c>
      <c r="J19" s="1"/>
    </row>
    <row r="20" spans="1:12" ht="13.5" thickTop="1">
      <c r="A20" s="23" t="s">
        <v>67</v>
      </c>
      <c r="B20" s="24" t="s">
        <v>68</v>
      </c>
      <c r="C20" s="24" t="s">
        <v>76</v>
      </c>
      <c r="D20" s="25" t="s">
        <v>77</v>
      </c>
      <c r="F20" s="51" t="s">
        <v>98</v>
      </c>
      <c r="G20" s="52" t="s">
        <v>34</v>
      </c>
      <c r="L20" s="1"/>
    </row>
    <row r="21" spans="1:12" ht="15" customHeight="1" thickBot="1">
      <c r="A21" s="26" t="s">
        <v>70</v>
      </c>
      <c r="B21" s="27">
        <f ca="1">ConstWeeksInYear</f>
        <v>52.142857142857146</v>
      </c>
      <c r="C21" s="27"/>
      <c r="D21" s="28"/>
      <c r="F21" s="54" t="s">
        <v>97</v>
      </c>
      <c r="G21" s="58">
        <v>1</v>
      </c>
    </row>
    <row r="22" spans="1:12" ht="14.25" thickTop="1" thickBot="1">
      <c r="A22" s="26" t="s">
        <v>71</v>
      </c>
      <c r="B22" s="27">
        <f ca="1">ConstFortnightsInYear</f>
        <v>26.071428571428573</v>
      </c>
      <c r="C22" s="27"/>
      <c r="D22" s="28"/>
    </row>
    <row r="23" spans="1:12" ht="17.25" thickTop="1" thickBot="1">
      <c r="A23" s="26" t="s">
        <v>72</v>
      </c>
      <c r="B23" s="27">
        <f>ConstMonthsInYear</f>
        <v>12</v>
      </c>
      <c r="C23" s="27"/>
      <c r="D23" s="28"/>
      <c r="F23" s="55" t="s">
        <v>109</v>
      </c>
      <c r="G23" s="56" t="s">
        <v>69</v>
      </c>
      <c r="H23" s="3"/>
    </row>
    <row r="24" spans="1:12" ht="13.5" thickTop="1">
      <c r="A24" s="26" t="s">
        <v>74</v>
      </c>
      <c r="B24" s="27">
        <f>ConstQuartersInYear</f>
        <v>4</v>
      </c>
      <c r="C24" s="27"/>
      <c r="D24" s="28"/>
      <c r="F24" s="59" t="s">
        <v>50</v>
      </c>
      <c r="G24" s="60">
        <f ca="1">DATE(YEAR(TODAY()) + 1, MONTH(TODAY()), DAY(TODAY())) - TODAY()</f>
        <v>365</v>
      </c>
    </row>
    <row r="25" spans="1:12" ht="13.5" thickBot="1">
      <c r="A25" s="30" t="s">
        <v>73</v>
      </c>
      <c r="B25" s="33">
        <v>1</v>
      </c>
      <c r="C25" s="31"/>
      <c r="D25" s="32"/>
      <c r="F25" s="53" t="s">
        <v>57</v>
      </c>
      <c r="G25" s="61">
        <f ca="1">ConstDaysInYear/ConstMonthsInYear</f>
        <v>30.416666666666668</v>
      </c>
      <c r="J25" s="1"/>
    </row>
    <row r="26" spans="1:12" ht="14.25" thickTop="1" thickBot="1">
      <c r="F26" s="62" t="s">
        <v>55</v>
      </c>
      <c r="G26" s="61">
        <v>14</v>
      </c>
    </row>
    <row r="27" spans="1:12" ht="15" customHeight="1" thickTop="1" thickBot="1">
      <c r="A27" s="435" t="s">
        <v>91</v>
      </c>
      <c r="B27" s="436"/>
      <c r="C27" s="436"/>
      <c r="D27" s="437"/>
      <c r="F27" s="62" t="s">
        <v>56</v>
      </c>
      <c r="G27" s="61">
        <v>7</v>
      </c>
      <c r="J27" s="94"/>
    </row>
    <row r="28" spans="1:12" ht="13.5" thickTop="1">
      <c r="A28" s="23" t="s">
        <v>90</v>
      </c>
      <c r="B28" s="24" t="s">
        <v>89</v>
      </c>
      <c r="C28" s="24" t="s">
        <v>34</v>
      </c>
      <c r="D28" s="25" t="s">
        <v>53</v>
      </c>
      <c r="F28" s="53" t="s">
        <v>58</v>
      </c>
      <c r="G28" s="63">
        <f ca="1">ConstDaysInYear/ConstDaysInWeek</f>
        <v>52.142857142857146</v>
      </c>
    </row>
    <row r="29" spans="1:12" ht="12.75" customHeight="1">
      <c r="A29" s="34" t="s">
        <v>26</v>
      </c>
      <c r="B29" s="27" t="s">
        <v>70</v>
      </c>
      <c r="C29" s="35" t="s">
        <v>71</v>
      </c>
      <c r="D29" s="36" t="s">
        <v>72</v>
      </c>
      <c r="F29" s="53" t="s">
        <v>59</v>
      </c>
      <c r="G29" s="63">
        <f ca="1">ConstDaysInMonth/ConstDaysInWeek</f>
        <v>4.3452380952380958</v>
      </c>
    </row>
    <row r="30" spans="1:12">
      <c r="A30" s="34" t="s">
        <v>27</v>
      </c>
      <c r="B30" s="27" t="s">
        <v>70</v>
      </c>
      <c r="C30" s="35" t="s">
        <v>71</v>
      </c>
      <c r="D30" s="36" t="s">
        <v>72</v>
      </c>
      <c r="F30" s="53" t="s">
        <v>60</v>
      </c>
      <c r="G30" s="63">
        <f>ConstDaysInFortnight/ConstDaysInWeek</f>
        <v>2</v>
      </c>
    </row>
    <row r="31" spans="1:12">
      <c r="A31" s="34" t="s">
        <v>88</v>
      </c>
      <c r="B31" s="35" t="s">
        <v>71</v>
      </c>
      <c r="C31" s="35" t="s">
        <v>71</v>
      </c>
      <c r="D31" s="36" t="s">
        <v>71</v>
      </c>
      <c r="F31" s="53" t="s">
        <v>61</v>
      </c>
      <c r="G31" s="63">
        <f ca="1">ConstDaysInYear/ConstDaysInFortnight</f>
        <v>26.071428571428573</v>
      </c>
    </row>
    <row r="32" spans="1:12">
      <c r="A32" s="34" t="s">
        <v>1</v>
      </c>
      <c r="B32" s="35" t="s">
        <v>71</v>
      </c>
      <c r="C32" s="35" t="s">
        <v>71</v>
      </c>
      <c r="D32" s="36" t="s">
        <v>71</v>
      </c>
      <c r="F32" s="53" t="s">
        <v>62</v>
      </c>
      <c r="G32" s="63">
        <f ca="1">ConstDaysInMonth/ConstDaysInFortnight</f>
        <v>2.1726190476190479</v>
      </c>
    </row>
    <row r="33" spans="1:7">
      <c r="A33" s="37" t="s">
        <v>29</v>
      </c>
      <c r="B33" s="35" t="s">
        <v>71</v>
      </c>
      <c r="C33" s="35" t="s">
        <v>71</v>
      </c>
      <c r="D33" s="36" t="s">
        <v>71</v>
      </c>
      <c r="F33" s="53" t="s">
        <v>51</v>
      </c>
      <c r="G33" s="63">
        <v>12</v>
      </c>
    </row>
    <row r="34" spans="1:7" ht="15" customHeight="1">
      <c r="A34" s="34" t="s">
        <v>2</v>
      </c>
      <c r="B34" s="27" t="s">
        <v>70</v>
      </c>
      <c r="C34" s="35" t="s">
        <v>71</v>
      </c>
      <c r="D34" s="36" t="s">
        <v>71</v>
      </c>
      <c r="F34" s="53" t="s">
        <v>63</v>
      </c>
      <c r="G34" s="63">
        <f>ConstMonthsInYear/4</f>
        <v>3</v>
      </c>
    </row>
    <row r="35" spans="1:7">
      <c r="A35" s="34" t="s">
        <v>129</v>
      </c>
      <c r="B35" s="35" t="s">
        <v>72</v>
      </c>
      <c r="C35" s="35" t="s">
        <v>72</v>
      </c>
      <c r="D35" s="36" t="s">
        <v>72</v>
      </c>
      <c r="F35" s="53" t="s">
        <v>64</v>
      </c>
      <c r="G35" s="63">
        <f>ConstMonthsInYear/ConstMonthsInQuarter</f>
        <v>4</v>
      </c>
    </row>
    <row r="36" spans="1:7" ht="13.5" thickBot="1">
      <c r="A36" s="38" t="s">
        <v>28</v>
      </c>
      <c r="B36" s="31" t="s">
        <v>70</v>
      </c>
      <c r="C36" s="39" t="s">
        <v>71</v>
      </c>
      <c r="D36" s="40" t="s">
        <v>71</v>
      </c>
      <c r="F36" s="64" t="s">
        <v>52</v>
      </c>
      <c r="G36" s="65">
        <f ca="1">TODAY()</f>
        <v>43419</v>
      </c>
    </row>
    <row r="37" spans="1:7" ht="14.25" thickTop="1" thickBot="1">
      <c r="A37" s="1"/>
    </row>
    <row r="38" spans="1:7" ht="15" customHeight="1" thickTop="1" thickBot="1">
      <c r="A38" s="445" t="s">
        <v>121</v>
      </c>
      <c r="B38" s="446"/>
      <c r="C38" s="446"/>
      <c r="D38" s="447"/>
      <c r="F38" s="47" t="s">
        <v>111</v>
      </c>
      <c r="G38" s="66" t="s">
        <v>69</v>
      </c>
    </row>
    <row r="39" spans="1:7" ht="13.5" thickTop="1">
      <c r="A39" s="23" t="s">
        <v>122</v>
      </c>
      <c r="B39" s="24" t="s">
        <v>89</v>
      </c>
      <c r="C39" s="24" t="s">
        <v>34</v>
      </c>
      <c r="D39" s="25" t="s">
        <v>53</v>
      </c>
      <c r="F39" s="67" t="s">
        <v>67</v>
      </c>
      <c r="G39" s="68">
        <v>1</v>
      </c>
    </row>
    <row r="40" spans="1:7" ht="13.5" thickBot="1">
      <c r="A40" s="30" t="s">
        <v>160</v>
      </c>
      <c r="B40" s="31" t="s">
        <v>70</v>
      </c>
      <c r="C40" s="39" t="s">
        <v>71</v>
      </c>
      <c r="D40" s="40" t="s">
        <v>72</v>
      </c>
      <c r="F40" s="69" t="s">
        <v>68</v>
      </c>
      <c r="G40" s="70">
        <v>2</v>
      </c>
    </row>
    <row r="41" spans="1:7" ht="14.25" thickTop="1" thickBot="1">
      <c r="F41" s="69" t="s">
        <v>76</v>
      </c>
      <c r="G41" s="70">
        <v>3</v>
      </c>
    </row>
    <row r="42" spans="1:7" ht="17.25" thickTop="1" thickBot="1">
      <c r="A42" s="435" t="s">
        <v>102</v>
      </c>
      <c r="B42" s="436"/>
      <c r="C42" s="436"/>
      <c r="D42" s="437"/>
      <c r="F42" s="69" t="s">
        <v>77</v>
      </c>
      <c r="G42" s="70">
        <v>4</v>
      </c>
    </row>
    <row r="43" spans="1:7" ht="13.5" thickTop="1">
      <c r="A43" s="76" t="s">
        <v>103</v>
      </c>
      <c r="B43" s="24" t="s">
        <v>107</v>
      </c>
      <c r="C43" s="24" t="s">
        <v>76</v>
      </c>
      <c r="D43" s="25" t="s">
        <v>77</v>
      </c>
      <c r="F43" s="51" t="s">
        <v>49</v>
      </c>
      <c r="G43" s="70">
        <v>1</v>
      </c>
    </row>
    <row r="44" spans="1:7" ht="15" customHeight="1">
      <c r="A44" s="74" t="s">
        <v>169</v>
      </c>
      <c r="B44" s="100" t="s">
        <v>114</v>
      </c>
      <c r="C44" s="27" t="s">
        <v>106</v>
      </c>
      <c r="D44" s="28" t="s">
        <v>136</v>
      </c>
      <c r="F44" s="51" t="s">
        <v>34</v>
      </c>
      <c r="G44" s="70">
        <v>2</v>
      </c>
    </row>
    <row r="45" spans="1:7">
      <c r="A45" s="74" t="s">
        <v>86</v>
      </c>
      <c r="B45" s="21" t="s">
        <v>115</v>
      </c>
      <c r="C45" s="27" t="s">
        <v>104</v>
      </c>
      <c r="D45" s="28"/>
      <c r="F45" s="51" t="s">
        <v>53</v>
      </c>
      <c r="G45" s="70">
        <v>3</v>
      </c>
    </row>
    <row r="46" spans="1:7" ht="13.5" thickBot="1">
      <c r="A46" s="75" t="s">
        <v>87</v>
      </c>
      <c r="B46" s="22" t="s">
        <v>116</v>
      </c>
      <c r="C46" s="31" t="s">
        <v>105</v>
      </c>
      <c r="D46" s="32"/>
      <c r="F46" s="54" t="s">
        <v>108</v>
      </c>
      <c r="G46" s="71">
        <v>2</v>
      </c>
    </row>
    <row r="47" spans="1:7" ht="14.25" thickTop="1" thickBot="1"/>
    <row r="48" spans="1:7" ht="17.25" thickTop="1" thickBot="1">
      <c r="A48" s="435" t="s">
        <v>92</v>
      </c>
      <c r="B48" s="436"/>
      <c r="C48" s="436"/>
      <c r="D48" s="437"/>
      <c r="F48" s="72" t="s">
        <v>146</v>
      </c>
      <c r="G48" s="73" t="s">
        <v>69</v>
      </c>
    </row>
    <row r="49" spans="1:8" ht="13.5" thickTop="1">
      <c r="A49" s="41" t="s">
        <v>67</v>
      </c>
      <c r="B49" s="42" t="s">
        <v>69</v>
      </c>
      <c r="C49" s="43" t="s">
        <v>76</v>
      </c>
      <c r="D49" s="44" t="s">
        <v>77</v>
      </c>
      <c r="F49" s="51" t="s">
        <v>134</v>
      </c>
      <c r="G49" s="77" t="s">
        <v>145</v>
      </c>
    </row>
    <row r="50" spans="1:8">
      <c r="A50" s="29" t="s">
        <v>49</v>
      </c>
      <c r="B50" s="45"/>
      <c r="C50" s="27"/>
      <c r="D50" s="28"/>
      <c r="F50" s="51" t="s">
        <v>135</v>
      </c>
      <c r="G50" s="77" t="s">
        <v>144</v>
      </c>
    </row>
    <row r="51" spans="1:8">
      <c r="A51" s="29" t="s">
        <v>34</v>
      </c>
      <c r="B51" s="45" t="s">
        <v>93</v>
      </c>
      <c r="C51" s="27" t="s">
        <v>110</v>
      </c>
      <c r="D51" s="28"/>
      <c r="F51" s="96" t="s">
        <v>149</v>
      </c>
      <c r="G51" s="97" t="s">
        <v>150</v>
      </c>
    </row>
    <row r="52" spans="1:8" ht="13.5" thickBot="1">
      <c r="A52" s="30" t="s">
        <v>53</v>
      </c>
      <c r="B52" s="46"/>
      <c r="C52" s="31"/>
      <c r="D52" s="32"/>
      <c r="F52" s="96" t="s">
        <v>148</v>
      </c>
      <c r="G52" s="97" t="s">
        <v>210</v>
      </c>
      <c r="H52" s="5"/>
    </row>
    <row r="53" spans="1:8" ht="14.25" thickTop="1" thickBot="1">
      <c r="A53" s="1"/>
      <c r="F53" s="54" t="s">
        <v>147</v>
      </c>
      <c r="G53" s="89" t="s">
        <v>211</v>
      </c>
      <c r="H53" s="5"/>
    </row>
    <row r="54" spans="1:8" ht="13.5" thickTop="1">
      <c r="H54" s="5"/>
    </row>
    <row r="55" spans="1:8">
      <c r="H55" s="5"/>
    </row>
    <row r="57" spans="1:8">
      <c r="A57" s="1"/>
    </row>
    <row r="66" spans="6:6" ht="12.75" customHeight="1"/>
    <row r="67" spans="6:6" ht="12.75" customHeight="1"/>
    <row r="68" spans="6:6" ht="15" customHeight="1"/>
    <row r="73" spans="6:6">
      <c r="F73" s="9"/>
    </row>
    <row r="83" spans="1:2">
      <c r="A83" s="2"/>
      <c r="B83" s="4"/>
    </row>
    <row r="85" spans="1:2" s="99" customFormat="1"/>
  </sheetData>
  <customSheetViews>
    <customSheetView guid="{0687FE70-1080-11D7-86CA-00B0D034C2E1}" showRuler="0">
      <selection activeCell="B44" sqref="B44"/>
      <pageMargins left="0.75" right="0.75" top="1" bottom="1" header="0.5" footer="0.5"/>
      <pageSetup paperSize="9" orientation="portrait" horizontalDpi="360" verticalDpi="360" r:id="rId1"/>
      <headerFooter alignWithMargins="0"/>
    </customSheetView>
  </customSheetViews>
  <mergeCells count="9">
    <mergeCell ref="A48:D48"/>
    <mergeCell ref="A1:D1"/>
    <mergeCell ref="F1:G1"/>
    <mergeCell ref="A19:D19"/>
    <mergeCell ref="A42:D42"/>
    <mergeCell ref="A3:D3"/>
    <mergeCell ref="A27:D27"/>
    <mergeCell ref="A12:D12"/>
    <mergeCell ref="A38:D38"/>
  </mergeCells>
  <phoneticPr fontId="19" type="noConversion"/>
  <pageMargins left="0.75" right="0.75" top="1" bottom="1" header="0.5" footer="0.5"/>
  <pageSetup paperSize="9" orientation="portrait" horizontalDpi="360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68</vt:i4>
      </vt:variant>
    </vt:vector>
  </HeadingPairs>
  <TitlesOfParts>
    <vt:vector size="71" baseType="lpstr">
      <vt:lpstr>Financial Organiser</vt:lpstr>
      <vt:lpstr>Creditors Sheet</vt:lpstr>
      <vt:lpstr>Working Data</vt:lpstr>
      <vt:lpstr>AreaGrandTotalBpa</vt:lpstr>
      <vt:lpstr>AreaGrandTotalOsa</vt:lpstr>
      <vt:lpstr>BudgetDate</vt:lpstr>
      <vt:lpstr>BudgetDateSelectionValue</vt:lpstr>
      <vt:lpstr>BudgetIncomeFrequencies</vt:lpstr>
      <vt:lpstr>BudgetIncomeItems</vt:lpstr>
      <vt:lpstr>BudgetPersonalExpensesItems</vt:lpstr>
      <vt:lpstr>BudgetWorksheetName</vt:lpstr>
      <vt:lpstr>ConstApplicationVersion</vt:lpstr>
      <vt:lpstr>ConstColumnAnnualRate</vt:lpstr>
      <vt:lpstr>ConstColumnColor</vt:lpstr>
      <vt:lpstr>ConstColumnDescription1</vt:lpstr>
      <vt:lpstr>ConstColumnDescription2</vt:lpstr>
      <vt:lpstr>ConstColumnFortnightly</vt:lpstr>
      <vt:lpstr>ConstColumnFrequency</vt:lpstr>
      <vt:lpstr>ConstColumnMonthly</vt:lpstr>
      <vt:lpstr>ConstColumnWeekly</vt:lpstr>
      <vt:lpstr>ConstDaysInFortnight</vt:lpstr>
      <vt:lpstr>ConstDaysInMonth</vt:lpstr>
      <vt:lpstr>ConstDaysInWeek</vt:lpstr>
      <vt:lpstr>ConstDaysInYear</vt:lpstr>
      <vt:lpstr>ConstExcelVersionNumber</vt:lpstr>
      <vt:lpstr>ConstFortnightsInMonth</vt:lpstr>
      <vt:lpstr>ConstFortnightsInYear</vt:lpstr>
      <vt:lpstr>ConstMonthsInQuarter</vt:lpstr>
      <vt:lpstr>ConstMonthsInYear</vt:lpstr>
      <vt:lpstr>ConstOperatingSystem</vt:lpstr>
      <vt:lpstr>ConstQuartersInYear</vt:lpstr>
      <vt:lpstr>ConstStringBlank</vt:lpstr>
      <vt:lpstr>ConstStringBPA</vt:lpstr>
      <vt:lpstr>ConstStringOSA</vt:lpstr>
      <vt:lpstr>ConstToday</vt:lpstr>
      <vt:lpstr>ConstWeeksInFortnight</vt:lpstr>
      <vt:lpstr>ConstWeeksInMonth</vt:lpstr>
      <vt:lpstr>ConstWeeksInYear</vt:lpstr>
      <vt:lpstr>ConstWorksheetNameBudget</vt:lpstr>
      <vt:lpstr>ConstWorksheetNameWorkingData</vt:lpstr>
      <vt:lpstr>DialogDataFirstWageButtonCancel</vt:lpstr>
      <vt:lpstr>DialogDataFirstWageButtonOk</vt:lpstr>
      <vt:lpstr>DialogDataFirstWageComboboxFrequency</vt:lpstr>
      <vt:lpstr>DialogDataFirstWageComboboxFrequencyIndex</vt:lpstr>
      <vt:lpstr>DialogDataFirstWageShown</vt:lpstr>
      <vt:lpstr>DialogListFirstWageFrequency</vt:lpstr>
      <vt:lpstr>DialogListFirstWageFrequencyDefault</vt:lpstr>
      <vt:lpstr>IsClosingState</vt:lpstr>
      <vt:lpstr>ListBpaOsa</vt:lpstr>
      <vt:lpstr>ListFrequencyBudget</vt:lpstr>
      <vt:lpstr>ListFrequencyBudgetMonthly</vt:lpstr>
      <vt:lpstr>ListFrequencyBudgetSelection</vt:lpstr>
      <vt:lpstr>ListFrequencyBudgetSelectionDescription1</vt:lpstr>
      <vt:lpstr>ListFrequencyBudgetSelectionDescription2</vt:lpstr>
      <vt:lpstr>ListFrequencyBudgetSelectionValue</vt:lpstr>
      <vt:lpstr>ListFrequencyBudgetSelectionValueMonthly</vt:lpstr>
      <vt:lpstr>ListFrequencyExpense</vt:lpstr>
      <vt:lpstr>ListFrequencyIncome</vt:lpstr>
      <vt:lpstr>ListFrequencyIncomeItemDefaults</vt:lpstr>
      <vt:lpstr>LookupFrequencyDefaultOtherPayments</vt:lpstr>
      <vt:lpstr>'Financial Organiser'!Print_Area</vt:lpstr>
      <vt:lpstr>ProRataBalance</vt:lpstr>
      <vt:lpstr>SurplusAvailable</vt:lpstr>
      <vt:lpstr>TableBpaOsa</vt:lpstr>
      <vt:lpstr>TableBudgetFrequency</vt:lpstr>
      <vt:lpstr>TableExpense</vt:lpstr>
      <vt:lpstr>TableIncome</vt:lpstr>
      <vt:lpstr>TableIncomeItemDefaults</vt:lpstr>
      <vt:lpstr>TablePersonalExpensesDefaults</vt:lpstr>
      <vt:lpstr>TotalIncome</vt:lpstr>
      <vt:lpstr>WorkingPassword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Money Plan</dc:title>
  <dc:subject>Budgets</dc:subject>
  <dc:creator>AlexMojzes@Yahoo.com.au</dc:creator>
  <cp:lastModifiedBy>Jonathan Turk</cp:lastModifiedBy>
  <cp:lastPrinted>2018-08-30T00:37:03Z</cp:lastPrinted>
  <dcterms:created xsi:type="dcterms:W3CDTF">2000-08-23T05:15:41Z</dcterms:created>
  <dcterms:modified xsi:type="dcterms:W3CDTF">2018-11-15T03:37:43Z</dcterms:modified>
</cp:coreProperties>
</file>